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7945" windowHeight="12255" tabRatio="795" activeTab="7"/>
  </bookViews>
  <sheets>
    <sheet name="方舟空运明细2511" sheetId="20" r:id="rId1"/>
    <sheet name="SE8空运明细2511" sheetId="21" r:id="rId2"/>
    <sheet name="方舟空运明细2512" sheetId="22" r:id="rId3"/>
    <sheet name="SE8空运明细2512" sheetId="24" r:id="rId4"/>
    <sheet name="方舟空运明细2601" sheetId="23" r:id="rId5"/>
    <sheet name="SE8空运明细2601" sheetId="27" r:id="rId6"/>
    <sheet name="财务简记" sheetId="9" r:id="rId7"/>
    <sheet name="方舟空运明细2602" sheetId="28" r:id="rId8"/>
    <sheet name="Sheet2" sheetId="18" r:id="rId9"/>
    <sheet name="Sheet3" sheetId="25" r:id="rId10"/>
    <sheet name="Sheet4" sheetId="26" r:id="rId11"/>
  </sheets>
  <definedNames>
    <definedName name="_xlnm._FilterDatabase" localSheetId="0" hidden="1">方舟空运明细2511!$B$2:$C$77</definedName>
    <definedName name="_xlnm._FilterDatabase" localSheetId="1" hidden="1">SE8空运明细2511!$B$2:$C$50</definedName>
    <definedName name="_xlnm._FilterDatabase" localSheetId="2" hidden="1">方舟空运明细2512!$B$2:$C$21</definedName>
    <definedName name="_xlnm._FilterDatabase" localSheetId="3" hidden="1">SE8空运明细2512!$B$2:$C$51</definedName>
    <definedName name="_xlnm._FilterDatabase" localSheetId="4" hidden="1">方舟空运明细2601!$A$2:$B$78</definedName>
    <definedName name="_xlnm._FilterDatabase" localSheetId="5" hidden="1">SE8空运明细2601!$B$2:$C$39</definedName>
    <definedName name="_xlnm._FilterDatabase" localSheetId="7" hidden="1">方舟空运明细2602!$A$2:$B$44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<sst xmlns="http://schemas.openxmlformats.org/spreadsheetml/2006/main" count="666" uniqueCount="320">
  <si>
    <t>方舟出货明细2511</t>
  </si>
  <si>
    <t>出货方式</t>
  </si>
  <si>
    <t>产品图片</t>
  </si>
  <si>
    <t>产品名称</t>
  </si>
  <si>
    <t>成本单价/元</t>
  </si>
  <si>
    <t>单价/元</t>
  </si>
  <si>
    <t>数量</t>
  </si>
  <si>
    <t>单位</t>
  </si>
  <si>
    <t>成本金额/元</t>
  </si>
  <si>
    <t>金额/元</t>
  </si>
  <si>
    <t>箱规</t>
  </si>
  <si>
    <t>利润</t>
  </si>
  <si>
    <t>支出</t>
  </si>
  <si>
    <t>收入</t>
  </si>
  <si>
    <t>余额</t>
  </si>
  <si>
    <t>备注</t>
  </si>
  <si>
    <t>浴室拖鞋</t>
  </si>
  <si>
    <t>双</t>
  </si>
  <si>
    <t>田园猎手爆汁肉肠</t>
  </si>
  <si>
    <t>箱</t>
  </si>
  <si>
    <t>2025年11月18日招行收奋燕60000元</t>
  </si>
  <si>
    <t>有友泡椒凤爪136g</t>
  </si>
  <si>
    <t>136g*40包</t>
  </si>
  <si>
    <t>麻辣王子（微辣）</t>
  </si>
  <si>
    <t>110g*80包</t>
  </si>
  <si>
    <t>贤哥辣么小小脆</t>
  </si>
  <si>
    <t>50包</t>
  </si>
  <si>
    <t>双汇王中王火腿肠</t>
  </si>
  <si>
    <t>30g*8*10</t>
  </si>
  <si>
    <t>百草味柠檬凤爪 110g</t>
  </si>
  <si>
    <t>百草味去骨鸭掌</t>
  </si>
  <si>
    <t>125g*60包</t>
  </si>
  <si>
    <t>小胡鸭柠檬酸辣凤爪 90g</t>
  </si>
  <si>
    <t>90g*30包</t>
  </si>
  <si>
    <t>男袜船袜</t>
  </si>
  <si>
    <t>男袜中筒袜</t>
  </si>
  <si>
    <t>百草味手撕鱿鱼丝</t>
  </si>
  <si>
    <t>80g*30袋</t>
  </si>
  <si>
    <t>百草味鱿鱼须（烧烤味)</t>
  </si>
  <si>
    <t>80g*45袋</t>
  </si>
  <si>
    <t>百草味风琴鱿鱼片</t>
  </si>
  <si>
    <t>80g*80袋</t>
  </si>
  <si>
    <t>百草味带籽鱿鱼仔</t>
  </si>
  <si>
    <t>180g*40袋</t>
  </si>
  <si>
    <t>绿帝干贝250g</t>
  </si>
  <si>
    <t>250g*20袋</t>
  </si>
  <si>
    <t>绿帝本港墨鱼干225g</t>
  </si>
  <si>
    <t>225g*20袋</t>
  </si>
  <si>
    <t>沪美美白祛斑霜</t>
  </si>
  <si>
    <t>支</t>
  </si>
  <si>
    <t>20g</t>
  </si>
  <si>
    <t>台湾班特宁</t>
  </si>
  <si>
    <t>盒</t>
  </si>
  <si>
    <t>20ml</t>
  </si>
  <si>
    <t>电煮锅泡面锅1L</t>
  </si>
  <si>
    <t>个</t>
  </si>
  <si>
    <t>1L</t>
  </si>
  <si>
    <t>小笑脸方巾</t>
  </si>
  <si>
    <t>条</t>
  </si>
  <si>
    <t>25cm*25cm</t>
  </si>
  <si>
    <t>素色方巾</t>
  </si>
  <si>
    <t>绣花方巾</t>
  </si>
  <si>
    <t>压花方巾</t>
  </si>
  <si>
    <t>30cm*30cm</t>
  </si>
  <si>
    <t>米字浴巾（翠绿）</t>
  </si>
  <si>
    <t>70cm*140cm</t>
  </si>
  <si>
    <t>米字浴巾（浅粉）</t>
  </si>
  <si>
    <t>米字浴巾（纯白）</t>
  </si>
  <si>
    <t>九阳电饭煲</t>
  </si>
  <si>
    <t>美的电饭煲1.6L</t>
  </si>
  <si>
    <t>合计金额：</t>
  </si>
  <si>
    <t>合计利润：</t>
  </si>
  <si>
    <t>每人利润：</t>
  </si>
  <si>
    <t>扣除我本单利润后的余额</t>
  </si>
  <si>
    <t>SE8空运出货明细2511</t>
  </si>
  <si>
    <t>纸树开花圣诞树（怀旧款科学小实验）50包</t>
  </si>
  <si>
    <t>包</t>
  </si>
  <si>
    <t>海氏海诺呼吸闭口贴
（3盒共108贴成人款）</t>
  </si>
  <si>
    <t>凯蒂猫浴花搓澡手套</t>
  </si>
  <si>
    <t>眼镜布清洁湿巾</t>
  </si>
  <si>
    <t>蜡笔小新取件门牌</t>
  </si>
  <si>
    <t>加厚磨砂骰子盅</t>
  </si>
  <si>
    <t>14号骰子</t>
  </si>
  <si>
    <t>粒</t>
  </si>
  <si>
    <t>蜡笔小新全自动透明伞</t>
  </si>
  <si>
    <t>把</t>
  </si>
  <si>
    <t>酒桌神器（60*60cm）</t>
  </si>
  <si>
    <t>微缩景观贴</t>
  </si>
  <si>
    <t>套</t>
  </si>
  <si>
    <t>微缩瓶子盲袋</t>
  </si>
  <si>
    <t>水果椰椰发圈</t>
  </si>
  <si>
    <t>根</t>
  </si>
  <si>
    <t>麻将筹码代币</t>
  </si>
  <si>
    <t>水波纹网红灯</t>
  </si>
  <si>
    <t>俄罗斯转盘16杯</t>
  </si>
  <si>
    <t>桌游卡牌啤酒杀</t>
  </si>
  <si>
    <t>快递开箱手工刀</t>
  </si>
  <si>
    <t>强力清洁胶</t>
  </si>
  <si>
    <t>圣诞派对盲盒</t>
  </si>
  <si>
    <t>圣诞发夹</t>
  </si>
  <si>
    <t>对</t>
  </si>
  <si>
    <t>荧光棒</t>
  </si>
  <si>
    <t>杰士邦精子质量活力检测纸</t>
  </si>
  <si>
    <t>降噪耳塞</t>
  </si>
  <si>
    <t>罗马柱香薰蜡烛 红+黑</t>
  </si>
  <si>
    <t>圣诞节糖果</t>
  </si>
  <si>
    <t>袋</t>
  </si>
  <si>
    <t>于小鲜辣糊糊</t>
  </si>
  <si>
    <t>葵花晕车贴</t>
  </si>
  <si>
    <t>李海龙麻辣烫（微辣）</t>
  </si>
  <si>
    <t>李海龙麻辣烫（特辣）</t>
  </si>
  <si>
    <t>翠宏辣椒面</t>
  </si>
  <si>
    <t>茶颜悦色茉莉薯条</t>
  </si>
  <si>
    <t>洗象堂吸汁面藕</t>
  </si>
  <si>
    <t>川娃子皮蛋烧椒酱</t>
  </si>
  <si>
    <t>瓶</t>
  </si>
  <si>
    <t>手指教鞭</t>
  </si>
  <si>
    <t>易下开塞露（20支/盒）</t>
  </si>
  <si>
    <t>爆单符摇摇乐</t>
  </si>
  <si>
    <t>白钻吉利丁片</t>
  </si>
  <si>
    <t>密封袋</t>
  </si>
  <si>
    <t>只</t>
  </si>
  <si>
    <t>26*38cm
双层8丝</t>
  </si>
  <si>
    <t>白钻全脂椰蓉</t>
  </si>
  <si>
    <t>皇上皇腊肠</t>
  </si>
  <si>
    <t>香炒外婆菜</t>
  </si>
  <si>
    <t>名扬火锅底料牛油麻辣</t>
  </si>
  <si>
    <t>238g*30袋</t>
  </si>
  <si>
    <t>干贡菜</t>
  </si>
  <si>
    <t>盐津铺子大魔王魔芋火鸡酱味</t>
  </si>
  <si>
    <t>兆辉锅巴（小龙虾+牛肉味）</t>
  </si>
  <si>
    <t>罐</t>
  </si>
  <si>
    <t>皇上皇腊鸭腿150g</t>
  </si>
  <si>
    <t>叉烧樱桃味辣条</t>
  </si>
  <si>
    <t>韩国乐天巧克力</t>
  </si>
  <si>
    <t>方舟出货明细2512</t>
  </si>
  <si>
    <t>拉面说金汤肥牛</t>
  </si>
  <si>
    <t>158g*30袋</t>
  </si>
  <si>
    <t>58g*50袋</t>
  </si>
  <si>
    <t>御品萱发热鞋垫（一次性）男款</t>
  </si>
  <si>
    <t>御品萱发热鞋垫（一次性）女款</t>
  </si>
  <si>
    <t>纳盾发热鞋垫</t>
  </si>
  <si>
    <t>洁柔纸面巾（face粉软抽无香）120抽3层（8包装）</t>
  </si>
  <si>
    <t>120抽*8包/提*10提</t>
  </si>
  <si>
    <t>洁柔纸面巾（face粉软抽百花香）120抽3层（6包装）</t>
  </si>
  <si>
    <t>120抽*6包/提*8提</t>
  </si>
  <si>
    <t>洁柔卫生纸140g4层（face黑有芯）12卷装</t>
  </si>
  <si>
    <t>140g*12卷/提*6提</t>
  </si>
  <si>
    <t>洁柔面子牌柔肤净颜洗脸巾中60抽（3包装）</t>
  </si>
  <si>
    <t>60抽*3包/提*8提</t>
  </si>
  <si>
    <t>洁柔面子牌柔肤净颜挂抽式洗脸巾中180抽单包装</t>
  </si>
  <si>
    <t>180抽/提*12提</t>
  </si>
  <si>
    <t>朵蕾蜜零感吸纯棉女性卫生裤M-L码（3pcs）</t>
  </si>
  <si>
    <t>3pcs/包*36包</t>
  </si>
  <si>
    <t>已到</t>
  </si>
  <si>
    <t>纯棉100%女中腰日抛内裤白L5条装</t>
  </si>
  <si>
    <t>5条/包*20包</t>
  </si>
  <si>
    <t>SE8空运出货明细2512</t>
  </si>
  <si>
    <t>有友大杂烩238g</t>
  </si>
  <si>
    <t>阿华田蛋糕卷80g</t>
  </si>
  <si>
    <t>80g*24袋</t>
  </si>
  <si>
    <t>蒸汽眼罩</t>
  </si>
  <si>
    <t>片</t>
  </si>
  <si>
    <t>老醋蚕豆458g</t>
  </si>
  <si>
    <t>手掌软胶</t>
  </si>
  <si>
    <t>万兴隆无花果</t>
  </si>
  <si>
    <t>蜡笔小新擦手巾</t>
  </si>
  <si>
    <t>桌游女巫的毒药</t>
  </si>
  <si>
    <t>桌游德国心脏病铁盒装</t>
  </si>
  <si>
    <t>热门爆梗桌游十件套</t>
  </si>
  <si>
    <t>可拆卸兔子尾巴</t>
  </si>
  <si>
    <t>桌游 talking heart</t>
  </si>
  <si>
    <t>可伸缩收纳盒</t>
  </si>
  <si>
    <t>宠物喂食器</t>
  </si>
  <si>
    <t>口袋跳跳糖</t>
  </si>
  <si>
    <t>硅胶充气娃娃</t>
  </si>
  <si>
    <t>迷你圣诞帽</t>
  </si>
  <si>
    <t>充电震动棒</t>
  </si>
  <si>
    <t>杰士邦震动棒</t>
  </si>
  <si>
    <t>取悦扣指</t>
  </si>
  <si>
    <t>双跳蛋</t>
  </si>
  <si>
    <t>麦当劳同款铃铛</t>
  </si>
  <si>
    <t>冰箱侧面壁挂架</t>
  </si>
  <si>
    <t>透明推进器25cm</t>
  </si>
  <si>
    <t>透明推进器30cm</t>
  </si>
  <si>
    <t>友臣五黑紫米面包</t>
  </si>
  <si>
    <t>有友鸡脚筋（盐焗味）</t>
  </si>
  <si>
    <t>50g*80袋</t>
  </si>
  <si>
    <t>有友鸡脚筋（山椒味）</t>
  </si>
  <si>
    <t>有友鸡脚筋（泰式酸辣味）</t>
  </si>
  <si>
    <t>女巫转盘</t>
  </si>
  <si>
    <t>星球杯（大杯50杯）</t>
  </si>
  <si>
    <t>桶</t>
  </si>
  <si>
    <t>霸王丝辣条</t>
  </si>
  <si>
    <t>茶颜悦色干脆面包丁</t>
  </si>
  <si>
    <t>35g*40袋</t>
  </si>
  <si>
    <t>有一箱是奋燕付款</t>
  </si>
  <si>
    <t>和成天下50</t>
  </si>
  <si>
    <t>王中王火腿肠</t>
  </si>
  <si>
    <t>30g*8根*10包</t>
  </si>
  <si>
    <t>双汇Q趣火腿肠（蘑菇味）</t>
  </si>
  <si>
    <t>70g*40个</t>
  </si>
  <si>
    <t>双汇Q趣火腿肠（孜然味）</t>
  </si>
  <si>
    <t>双汇Q趣火腿肠（香辣味）</t>
  </si>
  <si>
    <t>双汇Q趣火腿肠（玉米味）</t>
  </si>
  <si>
    <t>方舟出货明细 2601</t>
  </si>
  <si>
    <t>楼记扑克牌</t>
  </si>
  <si>
    <t>100副/箱</t>
  </si>
  <si>
    <t>已到龙申</t>
  </si>
  <si>
    <t>张小泉多功能厨房剪刀</t>
  </si>
  <si>
    <t>56把</t>
  </si>
  <si>
    <t>王小卤虎皮凤爪（原味）</t>
  </si>
  <si>
    <t>105g*25包</t>
  </si>
  <si>
    <t>王小卤虎皮凤爪（香辣）</t>
  </si>
  <si>
    <t>王小卤虎皮凤爪（武汉黑鸭）</t>
  </si>
  <si>
    <t>田园猎手爆汁肉肠190g</t>
  </si>
  <si>
    <t>190g*20包</t>
  </si>
  <si>
    <t>飘零大叔孜香麻辣爆肚</t>
  </si>
  <si>
    <t>48g*40袋</t>
  </si>
  <si>
    <t>飘零大叔原味猪肉脯</t>
  </si>
  <si>
    <t>50g*50袋</t>
  </si>
  <si>
    <t>飘零大叔酱烧鸭翅</t>
  </si>
  <si>
    <t>108g*30袋</t>
  </si>
  <si>
    <t>飘零大叔酱烧鸭锁骨</t>
  </si>
  <si>
    <t>飘零大叔盐焗鹌鹑蛋</t>
  </si>
  <si>
    <t>88g*40袋</t>
  </si>
  <si>
    <t>飘零大叔香卤铁蛋</t>
  </si>
  <si>
    <t>回味赞鸭血粉丝</t>
  </si>
  <si>
    <t>256g*48袋</t>
  </si>
  <si>
    <t>台式烤肠</t>
  </si>
  <si>
    <t>38g*5袋*20兜</t>
  </si>
  <si>
    <t>奈丝公主卫生裤 s-m码</t>
  </si>
  <si>
    <t>2片/包*36包</t>
  </si>
  <si>
    <t>奈丝公主卫生裤 m-l码</t>
  </si>
  <si>
    <t>全棉时代全棉柔巾洗脸巾</t>
  </si>
  <si>
    <t>6包/提*6提</t>
  </si>
  <si>
    <t>全棉时代一次性内裤 M码（5条装）</t>
  </si>
  <si>
    <t>5条/包*60包</t>
  </si>
  <si>
    <t>全棉时代一次性内裤 L码（5条装）</t>
  </si>
  <si>
    <t>全棉时代超柔超厚洗脸巾</t>
  </si>
  <si>
    <t>60片/包*3包/提*12提</t>
  </si>
  <si>
    <t>王小卤虎皮凤爪（火锅味）</t>
  </si>
  <si>
    <t>王小卤虎皮凤爪（青花椒味）</t>
  </si>
  <si>
    <t>有友泡椒凤爪</t>
  </si>
  <si>
    <t>136g*40袋</t>
  </si>
  <si>
    <t>有友泡椒猪皮晶60g</t>
  </si>
  <si>
    <t>60g*60袋</t>
  </si>
  <si>
    <t>老李五香翅</t>
  </si>
  <si>
    <t>70g*30包</t>
  </si>
  <si>
    <t>浴帘</t>
  </si>
  <si>
    <t>180cm*180cm</t>
  </si>
  <si>
    <t>桌布</t>
  </si>
  <si>
    <t>张</t>
  </si>
  <si>
    <t>90cm*150cm</t>
  </si>
  <si>
    <t>2026年1月12日招行收奋燕70000元</t>
  </si>
  <si>
    <t>SE8空运出货明细2601</t>
  </si>
  <si>
    <t>云南野酸角</t>
  </si>
  <si>
    <t>16g/包*52包</t>
  </si>
  <si>
    <t>步步升南京板鸭牛仔骨</t>
  </si>
  <si>
    <t>琼宇神雕侠侣辣条</t>
  </si>
  <si>
    <t>酸妞乐潮软糖</t>
  </si>
  <si>
    <t>彬彬旺牛板筋</t>
  </si>
  <si>
    <t>佳达拖肥椰果肉</t>
  </si>
  <si>
    <t>毛湘德香菇丝</t>
  </si>
  <si>
    <t>一根筋辣条（混合装）</t>
  </si>
  <si>
    <t>水晶泥海绵宝宝</t>
  </si>
  <si>
    <t>卫龙魔芋爽</t>
  </si>
  <si>
    <t>新鲜活珠子（香辣味）</t>
  </si>
  <si>
    <t>松花皮蛋肠</t>
  </si>
  <si>
    <t>酥脆蚕蛹80g/袋</t>
  </si>
  <si>
    <t>大刀肉素辣条</t>
  </si>
  <si>
    <t>门柜修复片</t>
  </si>
  <si>
    <t>医用HPV检测试剂盒</t>
  </si>
  <si>
    <t>医用安全套超薄乳胶001</t>
  </si>
  <si>
    <t>毓婷验孕检测试纸</t>
  </si>
  <si>
    <t>小鲸鱼跳蛋</t>
  </si>
  <si>
    <t>小鲸鱼跳蛋套装</t>
  </si>
  <si>
    <t>sm道具（黑色11件套）</t>
  </si>
  <si>
    <t>杰士邦飞机杯</t>
  </si>
  <si>
    <t>全自动伸缩棒</t>
  </si>
  <si>
    <t>贝因美一次性内裤 经典白色2XL</t>
  </si>
  <si>
    <t>女士云感内裤 2XL</t>
  </si>
  <si>
    <t>口袋旅行莫兰迪色日抛内裤2XL（袋装）</t>
  </si>
  <si>
    <t>口袋旅行莫兰迪色日抛内裤2X（盒装）L</t>
  </si>
  <si>
    <t>猫人无痕奶皮裤 M码</t>
  </si>
  <si>
    <t>可孚阴道炎检测试剂</t>
  </si>
  <si>
    <t>海氏海诺幽门螺旋杆菌检测试纸</t>
  </si>
  <si>
    <t>顶鹿医用一次性乳贴</t>
  </si>
  <si>
    <t>贴</t>
  </si>
  <si>
    <t>海氏海诺防凸点胸贴</t>
  </si>
  <si>
    <t>75%酒精湿巾</t>
  </si>
  <si>
    <t>小米指甲剪5件套</t>
  </si>
  <si>
    <t>卡通二合一搓澡浴花</t>
  </si>
  <si>
    <t>感康复方氨酚烷胺片</t>
  </si>
  <si>
    <t>琥珀牛羊配小米锅巴</t>
  </si>
  <si>
    <t>应收货款</t>
  </si>
  <si>
    <t>11月</t>
  </si>
  <si>
    <t>12月</t>
  </si>
  <si>
    <t>1月</t>
  </si>
  <si>
    <t>合计</t>
  </si>
  <si>
    <t>方舟</t>
  </si>
  <si>
    <t>SE8</t>
  </si>
  <si>
    <t>总计应收货款：</t>
  </si>
  <si>
    <t>这是应该收回来的货款</t>
  </si>
  <si>
    <t>这是我目前垫付的货款</t>
  </si>
  <si>
    <t>这是你垫付的货款和利润</t>
  </si>
  <si>
    <t>金额验算</t>
  </si>
  <si>
    <t>11月份你给我的货款</t>
  </si>
  <si>
    <t>扣去10月份我垫付的货款</t>
  </si>
  <si>
    <t>这是你这几个月的利润</t>
  </si>
  <si>
    <t>这是面包丁你垫付的货款</t>
  </si>
  <si>
    <t>合计金额</t>
  </si>
  <si>
    <t>每人利润</t>
  </si>
  <si>
    <t>总计利润：</t>
  </si>
  <si>
    <t>几分之几（凤梨干）</t>
  </si>
  <si>
    <t>几分之几（芙蓉李干）</t>
  </si>
  <si>
    <t>几分之几（混箱）</t>
  </si>
  <si>
    <t>奋燕购买</t>
  </si>
  <si>
    <t>有友盐焗鸡脚筋</t>
  </si>
  <si>
    <t>有友山椒鸡脚筋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</si>
</sst>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11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_);[Red]\(0\)"/>
    <numFmt numFmtId="178" formatCode="0.0_ "/>
    <numFmt numFmtId="179" formatCode="0_ "/>
    <numFmt numFmtId="180" formatCode="0.00_);[Red]\(0.00\)"/>
    <numFmt numFmtId="181" formatCode="0.0_);[Red]\(0.0\)"/>
    <numFmt numFmtId="182" formatCode="\¥#,##0.00_);[Red]\(\¥#,##0.00\)"/>
  </numFmts>
  <fonts count="30">
    <font>
      <sz val="11"/>
      <color theme="1"/>
      <name val="等线"/>
      <charset val="134"/>
      <scheme val="minor"/>
    </font>
    <font>
      <b/>
      <sz val="11"/>
      <color theme="1"/>
      <name val="微软雅黑"/>
      <charset val="134"/>
    </font>
    <font>
      <sz val="11"/>
      <color theme="1"/>
      <name val="微软雅黑"/>
      <charset val="134"/>
    </font>
    <font>
      <sz val="11"/>
      <color theme="0" tint="-0.35"/>
      <name val="微软雅黑"/>
      <charset val="134"/>
    </font>
    <font>
      <b/>
      <sz val="20"/>
      <color theme="1"/>
      <name val="微软雅黑"/>
      <charset val="134"/>
    </font>
    <font>
      <b/>
      <sz val="11"/>
      <name val="微软雅黑"/>
      <charset val="134"/>
    </font>
    <font>
      <sz val="14"/>
      <color indexed="8"/>
      <name val="微软雅黑"/>
      <charset val="134"/>
    </font>
    <font>
      <sz val="10"/>
      <color theme="1"/>
      <name val="等线"/>
      <charset val="134"/>
      <scheme val="minor"/>
    </font>
    <font>
      <b/>
      <sz val="12"/>
      <color theme="1"/>
      <name val="等线"/>
      <charset val="134"/>
      <scheme val="minor"/>
    </font>
    <font>
      <sz val="10"/>
      <color theme="1"/>
      <name val="微软雅黑"/>
      <charset val="134"/>
    </font>
    <font>
      <u/>
      <sz val="11"/>
      <color theme="10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indexed="8"/>
      <name val="等线"/>
      <charset val="134"/>
    </font>
  </fonts>
  <fills count="37">
    <fill>
      <patternFill patternType="none"/>
    </fill>
    <fill>
      <patternFill patternType="gray125"/>
    </fill>
    <fill>
      <patternFill patternType="solid">
        <fgColor theme="4" tint="0.599993896298105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/>
    <xf numFmtId="0" fontId="11" fillId="0" borderId="0" applyNumberFormat="0" applyFill="0" applyBorder="0" applyAlignment="0" applyProtection="0">
      <alignment vertical="center"/>
    </xf>
    <xf numFmtId="0" fontId="0" fillId="10" borderId="6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16" fillId="0" borderId="7" applyNumberFormat="0" applyFill="0" applyAlignment="0" applyProtection="0">
      <alignment vertical="center"/>
    </xf>
    <xf numFmtId="0" fontId="17" fillId="0" borderId="8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11" borderId="9" applyNumberFormat="0" applyAlignment="0" applyProtection="0">
      <alignment vertical="center"/>
    </xf>
    <xf numFmtId="0" fontId="19" fillId="12" borderId="10" applyNumberFormat="0" applyAlignment="0" applyProtection="0">
      <alignment vertical="center"/>
    </xf>
    <xf numFmtId="0" fontId="20" fillId="12" borderId="9" applyNumberFormat="0" applyAlignment="0" applyProtection="0">
      <alignment vertical="center"/>
    </xf>
    <xf numFmtId="0" fontId="21" fillId="13" borderId="11" applyNumberFormat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23" fillId="0" borderId="13" applyNumberFormat="0" applyFill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8" fillId="2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6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7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7" fillId="7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9" fillId="0" borderId="0">
      <alignment vertical="center"/>
    </xf>
  </cellStyleXfs>
  <cellXfs count="120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Fill="1" applyAlignment="1">
      <alignment horizontal="center" vertical="center" wrapText="1"/>
    </xf>
    <xf numFmtId="176" fontId="2" fillId="0" borderId="0" xfId="0" applyNumberFormat="1" applyFont="1" applyAlignment="1">
      <alignment horizontal="center" vertical="center"/>
    </xf>
    <xf numFmtId="177" fontId="2" fillId="0" borderId="0" xfId="0" applyNumberFormat="1" applyFont="1" applyAlignment="1">
      <alignment horizontal="center" vertical="center"/>
    </xf>
    <xf numFmtId="178" fontId="2" fillId="0" borderId="0" xfId="0" applyNumberFormat="1" applyFont="1" applyAlignment="1">
      <alignment horizontal="center" vertical="center"/>
    </xf>
    <xf numFmtId="179" fontId="2" fillId="0" borderId="0" xfId="0" applyNumberFormat="1" applyFont="1" applyAlignment="1">
      <alignment horizontal="center" vertical="center"/>
    </xf>
    <xf numFmtId="176" fontId="3" fillId="0" borderId="0" xfId="0" applyNumberFormat="1" applyFont="1" applyAlignment="1">
      <alignment horizontal="center" vertical="center" wrapText="1"/>
    </xf>
    <xf numFmtId="0" fontId="4" fillId="0" borderId="0" xfId="0" applyFont="1" applyAlignment="1">
      <alignment horizontal="center" vertical="top"/>
    </xf>
    <xf numFmtId="0" fontId="4" fillId="0" borderId="0" xfId="0" applyFont="1" applyFill="1" applyAlignment="1">
      <alignment horizontal="center" vertical="top"/>
    </xf>
    <xf numFmtId="176" fontId="4" fillId="0" borderId="0" xfId="0" applyNumberFormat="1" applyFont="1" applyAlignment="1">
      <alignment horizontal="center" vertical="top"/>
    </xf>
    <xf numFmtId="178" fontId="4" fillId="0" borderId="0" xfId="0" applyNumberFormat="1" applyFont="1" applyAlignment="1">
      <alignment horizontal="center" vertical="top"/>
    </xf>
    <xf numFmtId="0" fontId="1" fillId="2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 wrapText="1"/>
    </xf>
    <xf numFmtId="176" fontId="1" fillId="2" borderId="1" xfId="0" applyNumberFormat="1" applyFont="1" applyFill="1" applyBorder="1" applyAlignment="1">
      <alignment horizontal="center" vertical="center"/>
    </xf>
    <xf numFmtId="177" fontId="1" fillId="2" borderId="1" xfId="0" applyNumberFormat="1" applyFont="1" applyFill="1" applyBorder="1" applyAlignment="1">
      <alignment horizontal="center" vertical="center"/>
    </xf>
    <xf numFmtId="178" fontId="1" fillId="2" borderId="1" xfId="0" applyNumberFormat="1" applyFont="1" applyFill="1" applyBorder="1" applyAlignment="1">
      <alignment horizontal="center" vertical="center"/>
    </xf>
    <xf numFmtId="179" fontId="1" fillId="2" borderId="1" xfId="0" applyNumberFormat="1" applyFont="1" applyFill="1" applyBorder="1" applyAlignment="1">
      <alignment horizontal="center" vertical="center"/>
    </xf>
    <xf numFmtId="176" fontId="5" fillId="2" borderId="1" xfId="0" applyNumberFormat="1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176" fontId="2" fillId="0" borderId="1" xfId="0" applyNumberFormat="1" applyFont="1" applyFill="1" applyBorder="1" applyAlignment="1">
      <alignment horizontal="center" vertical="center"/>
    </xf>
    <xf numFmtId="177" fontId="2" fillId="0" borderId="1" xfId="0" applyNumberFormat="1" applyFont="1" applyFill="1" applyBorder="1" applyAlignment="1">
      <alignment horizontal="center" vertical="center"/>
    </xf>
    <xf numFmtId="178" fontId="2" fillId="0" borderId="1" xfId="0" applyNumberFormat="1" applyFont="1" applyFill="1" applyBorder="1" applyAlignment="1">
      <alignment horizontal="center" vertical="center"/>
    </xf>
    <xf numFmtId="179" fontId="2" fillId="0" borderId="1" xfId="0" applyNumberFormat="1" applyFont="1" applyFill="1" applyBorder="1" applyAlignment="1">
      <alignment horizontal="center" vertical="center"/>
    </xf>
    <xf numFmtId="178" fontId="2" fillId="0" borderId="1" xfId="0" applyNumberFormat="1" applyFont="1" applyBorder="1" applyAlignment="1">
      <alignment horizontal="center" vertical="center"/>
    </xf>
    <xf numFmtId="176" fontId="3" fillId="0" borderId="1" xfId="0" applyNumberFormat="1" applyFont="1" applyFill="1" applyBorder="1" applyAlignment="1">
      <alignment horizontal="center" vertical="center" wrapText="1"/>
    </xf>
    <xf numFmtId="0" fontId="2" fillId="0" borderId="0" xfId="0" applyFont="1" applyFill="1" applyBorder="1" applyAlignment="1">
      <alignment horizontal="center" vertical="center"/>
    </xf>
    <xf numFmtId="0" fontId="6" fillId="0" borderId="1" xfId="0" applyNumberFormat="1" applyFont="1" applyFill="1" applyBorder="1" applyAlignment="1">
      <alignment horizontal="center" vertical="center" wrapText="1"/>
    </xf>
    <xf numFmtId="180" fontId="2" fillId="0" borderId="1" xfId="0" applyNumberFormat="1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center" vertical="center"/>
    </xf>
    <xf numFmtId="0" fontId="6" fillId="0" borderId="0" xfId="0" applyNumberFormat="1" applyFont="1" applyFill="1" applyBorder="1" applyAlignment="1">
      <alignment horizontal="center" vertical="center" wrapText="1"/>
    </xf>
    <xf numFmtId="0" fontId="2" fillId="0" borderId="0" xfId="0" applyFont="1" applyFill="1" applyBorder="1" applyAlignment="1">
      <alignment horizontal="center" vertical="center" wrapText="1"/>
    </xf>
    <xf numFmtId="176" fontId="2" fillId="0" borderId="0" xfId="0" applyNumberFormat="1" applyFont="1" applyFill="1" applyBorder="1" applyAlignment="1">
      <alignment horizontal="center" vertical="center"/>
    </xf>
    <xf numFmtId="177" fontId="2" fillId="0" borderId="0" xfId="0" applyNumberFormat="1" applyFont="1" applyFill="1" applyBorder="1" applyAlignment="1">
      <alignment horizontal="center" vertical="center"/>
    </xf>
    <xf numFmtId="178" fontId="2" fillId="0" borderId="0" xfId="0" applyNumberFormat="1" applyFont="1" applyFill="1" applyBorder="1" applyAlignment="1">
      <alignment horizontal="center" vertical="center"/>
    </xf>
    <xf numFmtId="178" fontId="2" fillId="0" borderId="2" xfId="0" applyNumberFormat="1" applyFont="1" applyFill="1" applyBorder="1" applyAlignment="1">
      <alignment horizontal="center" vertical="center"/>
    </xf>
    <xf numFmtId="0" fontId="6" fillId="0" borderId="3" xfId="0" applyNumberFormat="1" applyFont="1" applyFill="1" applyBorder="1" applyAlignment="1">
      <alignment horizontal="center" vertical="center" wrapText="1"/>
    </xf>
    <xf numFmtId="0" fontId="2" fillId="0" borderId="3" xfId="0" applyFont="1" applyFill="1" applyBorder="1" applyAlignment="1">
      <alignment horizontal="center" vertical="center" wrapText="1"/>
    </xf>
    <xf numFmtId="176" fontId="2" fillId="0" borderId="3" xfId="0" applyNumberFormat="1" applyFont="1" applyFill="1" applyBorder="1" applyAlignment="1">
      <alignment horizontal="center" vertical="center"/>
    </xf>
    <xf numFmtId="177" fontId="2" fillId="0" borderId="3" xfId="0" applyNumberFormat="1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center" vertical="center"/>
    </xf>
    <xf numFmtId="178" fontId="2" fillId="0" borderId="3" xfId="0" applyNumberFormat="1" applyFont="1" applyFill="1" applyBorder="1" applyAlignment="1">
      <alignment horizontal="center" vertical="center"/>
    </xf>
    <xf numFmtId="178" fontId="2" fillId="0" borderId="0" xfId="0" applyNumberFormat="1" applyFont="1" applyFill="1" applyAlignment="1">
      <alignment horizontal="center" vertical="center"/>
    </xf>
    <xf numFmtId="179" fontId="2" fillId="0" borderId="0" xfId="0" applyNumberFormat="1" applyFont="1" applyFill="1" applyBorder="1" applyAlignment="1">
      <alignment horizontal="center" vertical="center"/>
    </xf>
    <xf numFmtId="176" fontId="3" fillId="0" borderId="0" xfId="0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0" borderId="5" xfId="0" applyBorder="1" applyAlignment="1">
      <alignment horizontal="right" vertical="center"/>
    </xf>
    <xf numFmtId="0" fontId="0" fillId="6" borderId="1" xfId="0" applyFill="1" applyBorder="1" applyAlignment="1">
      <alignment horizontal="center" vertical="center"/>
    </xf>
    <xf numFmtId="178" fontId="0" fillId="7" borderId="1" xfId="0" applyNumberFormat="1" applyFill="1" applyBorder="1" applyAlignment="1">
      <alignment horizontal="center" vertical="center"/>
    </xf>
    <xf numFmtId="178" fontId="0" fillId="8" borderId="1" xfId="0" applyNumberFormat="1" applyFill="1" applyBorder="1" applyAlignment="1">
      <alignment horizontal="center" vertical="center"/>
    </xf>
    <xf numFmtId="0" fontId="7" fillId="0" borderId="0" xfId="0" applyFont="1" applyAlignment="1">
      <alignment vertical="center"/>
    </xf>
    <xf numFmtId="0" fontId="7" fillId="0" borderId="1" xfId="0" applyFont="1" applyBorder="1" applyAlignment="1">
      <alignment horizontal="center" vertical="center"/>
    </xf>
    <xf numFmtId="0" fontId="8" fillId="4" borderId="4" xfId="0" applyFont="1" applyFill="1" applyBorder="1" applyAlignment="1">
      <alignment horizontal="center" vertical="center"/>
    </xf>
    <xf numFmtId="178" fontId="7" fillId="0" borderId="1" xfId="0" applyNumberFormat="1" applyFont="1" applyBorder="1" applyAlignment="1">
      <alignment horizontal="center" vertical="center"/>
    </xf>
    <xf numFmtId="0" fontId="8" fillId="4" borderId="3" xfId="0" applyFont="1" applyFill="1" applyBorder="1" applyAlignment="1">
      <alignment horizontal="center" vertical="center"/>
    </xf>
    <xf numFmtId="178" fontId="0" fillId="0" borderId="1" xfId="0" applyNumberFormat="1" applyBorder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180" fontId="2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178" fontId="4" fillId="0" borderId="0" xfId="0" applyNumberFormat="1" applyFont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180" fontId="1" fillId="2" borderId="1" xfId="0" applyNumberFormat="1" applyFont="1" applyFill="1" applyBorder="1" applyAlignment="1">
      <alignment horizontal="center" vertical="center"/>
    </xf>
    <xf numFmtId="178" fontId="5" fillId="2" borderId="1" xfId="0" applyNumberFormat="1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0" fillId="0" borderId="0" xfId="0" applyFill="1"/>
    <xf numFmtId="180" fontId="2" fillId="0" borderId="0" xfId="0" applyNumberFormat="1" applyFont="1" applyFill="1" applyBorder="1" applyAlignment="1">
      <alignment horizontal="center" vertical="center"/>
    </xf>
    <xf numFmtId="181" fontId="2" fillId="0" borderId="0" xfId="0" applyNumberFormat="1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center" vertical="center"/>
    </xf>
    <xf numFmtId="180" fontId="2" fillId="0" borderId="1" xfId="0" applyNumberFormat="1" applyFont="1" applyBorder="1" applyAlignment="1">
      <alignment horizontal="center" vertical="center"/>
    </xf>
    <xf numFmtId="177" fontId="2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176" fontId="2" fillId="0" borderId="1" xfId="0" applyNumberFormat="1" applyFont="1" applyBorder="1" applyAlignment="1">
      <alignment horizontal="center" vertical="center"/>
    </xf>
    <xf numFmtId="178" fontId="2" fillId="7" borderId="1" xfId="0" applyNumberFormat="1" applyFont="1" applyFill="1" applyBorder="1" applyAlignment="1">
      <alignment horizontal="center" vertical="center"/>
    </xf>
    <xf numFmtId="176" fontId="3" fillId="0" borderId="1" xfId="0" applyNumberFormat="1" applyFont="1" applyBorder="1" applyAlignment="1">
      <alignment horizontal="center" vertical="center" wrapText="1"/>
    </xf>
    <xf numFmtId="0" fontId="2" fillId="0" borderId="0" xfId="0" applyFont="1" applyFill="1" applyBorder="1" applyAlignment="1">
      <alignment horizontal="left" vertical="center"/>
    </xf>
    <xf numFmtId="179" fontId="2" fillId="0" borderId="1" xfId="0" applyNumberFormat="1" applyFont="1" applyBorder="1" applyAlignment="1">
      <alignment horizontal="center" vertical="center"/>
    </xf>
    <xf numFmtId="182" fontId="2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0" fontId="2" fillId="9" borderId="1" xfId="0" applyFont="1" applyFill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178" fontId="2" fillId="5" borderId="1" xfId="0" applyNumberFormat="1" applyFont="1" applyFill="1" applyBorder="1" applyAlignment="1">
      <alignment horizontal="center" vertical="center"/>
    </xf>
    <xf numFmtId="178" fontId="2" fillId="9" borderId="1" xfId="0" applyNumberFormat="1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177" fontId="2" fillId="0" borderId="1" xfId="0" applyNumberFormat="1" applyFont="1" applyFill="1" applyBorder="1" applyAlignment="1">
      <alignment horizontal="left" vertical="center"/>
    </xf>
    <xf numFmtId="180" fontId="2" fillId="0" borderId="3" xfId="0" applyNumberFormat="1" applyFont="1" applyFill="1" applyBorder="1" applyAlignment="1">
      <alignment horizontal="center" vertical="center"/>
    </xf>
    <xf numFmtId="176" fontId="2" fillId="5" borderId="1" xfId="0" applyNumberFormat="1" applyFont="1" applyFill="1" applyBorder="1" applyAlignment="1">
      <alignment horizontal="center" vertical="center"/>
    </xf>
    <xf numFmtId="177" fontId="1" fillId="0" borderId="0" xfId="0" applyNumberFormat="1" applyFont="1" applyFill="1" applyBorder="1" applyAlignment="1">
      <alignment horizontal="left" vertical="center"/>
    </xf>
    <xf numFmtId="178" fontId="2" fillId="9" borderId="0" xfId="0" applyNumberFormat="1" applyFont="1" applyFill="1" applyBorder="1" applyAlignment="1">
      <alignment horizontal="center" vertical="center"/>
    </xf>
    <xf numFmtId="178" fontId="2" fillId="5" borderId="0" xfId="0" applyNumberFormat="1" applyFont="1" applyFill="1" applyBorder="1" applyAlignment="1">
      <alignment horizontal="center" vertical="center"/>
    </xf>
    <xf numFmtId="178" fontId="2" fillId="7" borderId="0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9" fillId="0" borderId="1" xfId="0" applyFont="1" applyFill="1" applyBorder="1" applyAlignment="1">
      <alignment horizontal="center" vertical="center"/>
    </xf>
    <xf numFmtId="177" fontId="2" fillId="0" borderId="1" xfId="0" applyNumberFormat="1" applyFont="1" applyFill="1" applyBorder="1" applyAlignment="1">
      <alignment horizontal="center" vertical="center" wrapText="1"/>
    </xf>
    <xf numFmtId="177" fontId="2" fillId="0" borderId="0" xfId="0" applyNumberFormat="1" applyFont="1" applyAlignment="1">
      <alignment horizontal="left" vertical="center"/>
    </xf>
    <xf numFmtId="178" fontId="2" fillId="9" borderId="0" xfId="0" applyNumberFormat="1" applyFont="1" applyFill="1" applyAlignment="1">
      <alignment horizontal="center" vertical="center"/>
    </xf>
    <xf numFmtId="176" fontId="2" fillId="5" borderId="0" xfId="0" applyNumberFormat="1" applyFont="1" applyFill="1" applyAlignment="1">
      <alignment horizontal="center" vertical="center"/>
    </xf>
    <xf numFmtId="178" fontId="2" fillId="7" borderId="0" xfId="0" applyNumberFormat="1" applyFont="1" applyFill="1" applyAlignment="1">
      <alignment horizontal="center" vertical="center"/>
    </xf>
    <xf numFmtId="0" fontId="2" fillId="0" borderId="0" xfId="0" applyFont="1" applyAlignment="1">
      <alignment horizontal="center" vertical="top"/>
    </xf>
    <xf numFmtId="178" fontId="2" fillId="0" borderId="0" xfId="0" applyNumberFormat="1" applyFont="1" applyAlignment="1">
      <alignment horizontal="center" vertical="top"/>
    </xf>
    <xf numFmtId="176" fontId="3" fillId="0" borderId="0" xfId="0" applyNumberFormat="1" applyFont="1" applyAlignment="1">
      <alignment horizontal="center" vertical="top" wrapText="1"/>
    </xf>
    <xf numFmtId="0" fontId="2" fillId="0" borderId="0" xfId="0" applyNumberFormat="1" applyFont="1" applyFill="1" applyBorder="1" applyAlignment="1">
      <alignment horizontal="center" vertical="center"/>
    </xf>
    <xf numFmtId="176" fontId="2" fillId="0" borderId="0" xfId="0" applyNumberFormat="1" applyFont="1" applyBorder="1" applyAlignment="1">
      <alignment horizontal="center" vertical="center"/>
    </xf>
    <xf numFmtId="177" fontId="2" fillId="0" borderId="0" xfId="0" applyNumberFormat="1" applyFont="1" applyBorder="1" applyAlignment="1">
      <alignment horizontal="center" vertical="center"/>
    </xf>
    <xf numFmtId="178" fontId="2" fillId="0" borderId="0" xfId="0" applyNumberFormat="1" applyFont="1" applyBorder="1" applyAlignment="1">
      <alignment horizontal="center" vertical="center"/>
    </xf>
    <xf numFmtId="176" fontId="3" fillId="0" borderId="0" xfId="0" applyNumberFormat="1" applyFont="1" applyBorder="1" applyAlignment="1">
      <alignment horizontal="center" vertical="center" wrapText="1"/>
    </xf>
  </cellXfs>
  <cellStyles count="50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 38" xfId="49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tyles" Target="styles.xml"/><Relationship Id="rId13" Type="http://schemas.openxmlformats.org/officeDocument/2006/relationships/sharedStrings" Target="sharedString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pn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png"/><Relationship Id="rId5" Type="http://schemas.openxmlformats.org/officeDocument/2006/relationships/image" Target="../media/image33.jpeg"/><Relationship Id="rId47" Type="http://schemas.openxmlformats.org/officeDocument/2006/relationships/image" Target="../media/image75.jpeg"/><Relationship Id="rId46" Type="http://schemas.openxmlformats.org/officeDocument/2006/relationships/image" Target="../media/image74.jpeg"/><Relationship Id="rId45" Type="http://schemas.openxmlformats.org/officeDocument/2006/relationships/image" Target="../media/image73.jpeg"/><Relationship Id="rId44" Type="http://schemas.openxmlformats.org/officeDocument/2006/relationships/image" Target="../media/image72.jpeg"/><Relationship Id="rId43" Type="http://schemas.openxmlformats.org/officeDocument/2006/relationships/image" Target="../media/image71.jpeg"/><Relationship Id="rId42" Type="http://schemas.openxmlformats.org/officeDocument/2006/relationships/image" Target="../media/image70.jpeg"/><Relationship Id="rId41" Type="http://schemas.openxmlformats.org/officeDocument/2006/relationships/image" Target="../media/image69.jpeg"/><Relationship Id="rId40" Type="http://schemas.openxmlformats.org/officeDocument/2006/relationships/image" Target="../media/image68.jpeg"/><Relationship Id="rId4" Type="http://schemas.openxmlformats.org/officeDocument/2006/relationships/image" Target="../media/image32.jpeg"/><Relationship Id="rId39" Type="http://schemas.openxmlformats.org/officeDocument/2006/relationships/image" Target="../media/image67.jpeg"/><Relationship Id="rId38" Type="http://schemas.openxmlformats.org/officeDocument/2006/relationships/image" Target="../media/image66.jpeg"/><Relationship Id="rId37" Type="http://schemas.openxmlformats.org/officeDocument/2006/relationships/image" Target="../media/image65.jpeg"/><Relationship Id="rId36" Type="http://schemas.openxmlformats.org/officeDocument/2006/relationships/image" Target="../media/image64.jpeg"/><Relationship Id="rId35" Type="http://schemas.openxmlformats.org/officeDocument/2006/relationships/image" Target="../media/image63.jpeg"/><Relationship Id="rId34" Type="http://schemas.openxmlformats.org/officeDocument/2006/relationships/image" Target="../media/image62.jpeg"/><Relationship Id="rId33" Type="http://schemas.openxmlformats.org/officeDocument/2006/relationships/image" Target="../media/image61.jpeg"/><Relationship Id="rId32" Type="http://schemas.openxmlformats.org/officeDocument/2006/relationships/image" Target="../media/image60.jpeg"/><Relationship Id="rId31" Type="http://schemas.openxmlformats.org/officeDocument/2006/relationships/image" Target="../media/image59.jpeg"/><Relationship Id="rId30" Type="http://schemas.openxmlformats.org/officeDocument/2006/relationships/image" Target="../media/image58.jpeg"/><Relationship Id="rId3" Type="http://schemas.openxmlformats.org/officeDocument/2006/relationships/image" Target="../media/image31.jpeg"/><Relationship Id="rId29" Type="http://schemas.openxmlformats.org/officeDocument/2006/relationships/image" Target="../media/image57.jpeg"/><Relationship Id="rId28" Type="http://schemas.openxmlformats.org/officeDocument/2006/relationships/image" Target="../media/image56.jpeg"/><Relationship Id="rId27" Type="http://schemas.openxmlformats.org/officeDocument/2006/relationships/image" Target="../media/image55.jpeg"/><Relationship Id="rId26" Type="http://schemas.openxmlformats.org/officeDocument/2006/relationships/image" Target="../media/image54.jpeg"/><Relationship Id="rId25" Type="http://schemas.openxmlformats.org/officeDocument/2006/relationships/image" Target="../media/image53.jpeg"/><Relationship Id="rId24" Type="http://schemas.openxmlformats.org/officeDocument/2006/relationships/image" Target="../media/image52.jpeg"/><Relationship Id="rId23" Type="http://schemas.openxmlformats.org/officeDocument/2006/relationships/image" Target="../media/image51.jpeg"/><Relationship Id="rId22" Type="http://schemas.openxmlformats.org/officeDocument/2006/relationships/image" Target="../media/image50.jpeg"/><Relationship Id="rId21" Type="http://schemas.openxmlformats.org/officeDocument/2006/relationships/image" Target="../media/image49.jpeg"/><Relationship Id="rId20" Type="http://schemas.openxmlformats.org/officeDocument/2006/relationships/image" Target="../media/image48.jpeg"/><Relationship Id="rId2" Type="http://schemas.openxmlformats.org/officeDocument/2006/relationships/image" Target="../media/image30.jpeg"/><Relationship Id="rId19" Type="http://schemas.openxmlformats.org/officeDocument/2006/relationships/image" Target="../media/image47.jpeg"/><Relationship Id="rId18" Type="http://schemas.openxmlformats.org/officeDocument/2006/relationships/image" Target="../media/image46.jpeg"/><Relationship Id="rId17" Type="http://schemas.openxmlformats.org/officeDocument/2006/relationships/image" Target="../media/image45.jpeg"/><Relationship Id="rId16" Type="http://schemas.openxmlformats.org/officeDocument/2006/relationships/image" Target="../media/image44.jpeg"/><Relationship Id="rId15" Type="http://schemas.openxmlformats.org/officeDocument/2006/relationships/image" Target="../media/image43.jpeg"/><Relationship Id="rId14" Type="http://schemas.openxmlformats.org/officeDocument/2006/relationships/image" Target="../media/image42.jpeg"/><Relationship Id="rId13" Type="http://schemas.openxmlformats.org/officeDocument/2006/relationships/image" Target="../media/image41.jpeg"/><Relationship Id="rId12" Type="http://schemas.openxmlformats.org/officeDocument/2006/relationships/image" Target="../media/image40.jpeg"/><Relationship Id="rId11" Type="http://schemas.openxmlformats.org/officeDocument/2006/relationships/image" Target="../media/image39.jpeg"/><Relationship Id="rId10" Type="http://schemas.openxmlformats.org/officeDocument/2006/relationships/image" Target="../media/image38.jpeg"/><Relationship Id="rId1" Type="http://schemas.openxmlformats.org/officeDocument/2006/relationships/image" Target="../media/image29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83.jpeg"/><Relationship Id="rId8" Type="http://schemas.openxmlformats.org/officeDocument/2006/relationships/image" Target="../media/image82.jpeg"/><Relationship Id="rId7" Type="http://schemas.openxmlformats.org/officeDocument/2006/relationships/image" Target="../media/image81.jpe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78.jpeg"/><Relationship Id="rId3" Type="http://schemas.openxmlformats.org/officeDocument/2006/relationships/image" Target="../media/image77.jpeg"/><Relationship Id="rId2" Type="http://schemas.openxmlformats.org/officeDocument/2006/relationships/image" Target="../media/image5.jpeg"/><Relationship Id="rId10" Type="http://schemas.openxmlformats.org/officeDocument/2006/relationships/image" Target="../media/image84.png"/><Relationship Id="rId1" Type="http://schemas.openxmlformats.org/officeDocument/2006/relationships/image" Target="../media/image76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93.jpeg"/><Relationship Id="rId8" Type="http://schemas.openxmlformats.org/officeDocument/2006/relationships/image" Target="../media/image92.jpeg"/><Relationship Id="rId7" Type="http://schemas.openxmlformats.org/officeDocument/2006/relationships/image" Target="../media/image91.jpeg"/><Relationship Id="rId6" Type="http://schemas.openxmlformats.org/officeDocument/2006/relationships/image" Target="../media/image90.jpeg"/><Relationship Id="rId5" Type="http://schemas.openxmlformats.org/officeDocument/2006/relationships/image" Target="../media/image89.jpeg"/><Relationship Id="rId4" Type="http://schemas.openxmlformats.org/officeDocument/2006/relationships/image" Target="../media/image88.jpeg"/><Relationship Id="rId36" Type="http://schemas.openxmlformats.org/officeDocument/2006/relationships/image" Target="../media/image119.jpeg"/><Relationship Id="rId35" Type="http://schemas.openxmlformats.org/officeDocument/2006/relationships/image" Target="../media/image118.jpeg"/><Relationship Id="rId34" Type="http://schemas.openxmlformats.org/officeDocument/2006/relationships/image" Target="../media/image117.jpeg"/><Relationship Id="rId33" Type="http://schemas.openxmlformats.org/officeDocument/2006/relationships/image" Target="../media/image116.jpeg"/><Relationship Id="rId32" Type="http://schemas.openxmlformats.org/officeDocument/2006/relationships/image" Target="../media/image115.jpeg"/><Relationship Id="rId31" Type="http://schemas.openxmlformats.org/officeDocument/2006/relationships/image" Target="../media/image114.jpeg"/><Relationship Id="rId30" Type="http://schemas.openxmlformats.org/officeDocument/2006/relationships/image" Target="../media/image113.jpeg"/><Relationship Id="rId3" Type="http://schemas.openxmlformats.org/officeDocument/2006/relationships/image" Target="../media/image87.jpeg"/><Relationship Id="rId29" Type="http://schemas.openxmlformats.org/officeDocument/2006/relationships/image" Target="../media/image112.jpeg"/><Relationship Id="rId28" Type="http://schemas.openxmlformats.org/officeDocument/2006/relationships/image" Target="../media/image111.jpeg"/><Relationship Id="rId27" Type="http://schemas.openxmlformats.org/officeDocument/2006/relationships/image" Target="../media/image110.jpeg"/><Relationship Id="rId26" Type="http://schemas.openxmlformats.org/officeDocument/2006/relationships/image" Target="../media/image109.jpeg"/><Relationship Id="rId25" Type="http://schemas.openxmlformats.org/officeDocument/2006/relationships/image" Target="../media/image108.jpeg"/><Relationship Id="rId24" Type="http://schemas.openxmlformats.org/officeDocument/2006/relationships/image" Target="../media/image107.jpeg"/><Relationship Id="rId23" Type="http://schemas.openxmlformats.org/officeDocument/2006/relationships/image" Target="../media/image106.jpeg"/><Relationship Id="rId22" Type="http://schemas.openxmlformats.org/officeDocument/2006/relationships/image" Target="../media/image105.jpeg"/><Relationship Id="rId21" Type="http://schemas.openxmlformats.org/officeDocument/2006/relationships/image" Target="../media/image104.jpeg"/><Relationship Id="rId20" Type="http://schemas.openxmlformats.org/officeDocument/2006/relationships/image" Target="../media/image103.jpeg"/><Relationship Id="rId2" Type="http://schemas.openxmlformats.org/officeDocument/2006/relationships/image" Target="../media/image86.jpeg"/><Relationship Id="rId19" Type="http://schemas.openxmlformats.org/officeDocument/2006/relationships/image" Target="../media/image102.jpeg"/><Relationship Id="rId18" Type="http://schemas.openxmlformats.org/officeDocument/2006/relationships/image" Target="../media/image101.jpeg"/><Relationship Id="rId17" Type="http://schemas.openxmlformats.org/officeDocument/2006/relationships/image" Target="../media/image100.jpeg"/><Relationship Id="rId16" Type="http://schemas.openxmlformats.org/officeDocument/2006/relationships/image" Target="../media/image99.jpeg"/><Relationship Id="rId15" Type="http://schemas.openxmlformats.org/officeDocument/2006/relationships/image" Target="../media/image98.jpeg"/><Relationship Id="rId14" Type="http://schemas.openxmlformats.org/officeDocument/2006/relationships/image" Target="../media/image97.jpeg"/><Relationship Id="rId13" Type="http://schemas.openxmlformats.org/officeDocument/2006/relationships/image" Target="../media/image96.jpeg"/><Relationship Id="rId12" Type="http://schemas.openxmlformats.org/officeDocument/2006/relationships/image" Target="../media/image6.jpeg"/><Relationship Id="rId11" Type="http://schemas.openxmlformats.org/officeDocument/2006/relationships/image" Target="../media/image95.jpeg"/><Relationship Id="rId10" Type="http://schemas.openxmlformats.org/officeDocument/2006/relationships/image" Target="../media/image94.jpeg"/><Relationship Id="rId1" Type="http://schemas.openxmlformats.org/officeDocument/2006/relationships/image" Target="../media/image8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8.png"/><Relationship Id="rId8" Type="http://schemas.openxmlformats.org/officeDocument/2006/relationships/image" Target="../media/image127.jpeg"/><Relationship Id="rId7" Type="http://schemas.openxmlformats.org/officeDocument/2006/relationships/image" Target="../media/image126.jpeg"/><Relationship Id="rId6" Type="http://schemas.openxmlformats.org/officeDocument/2006/relationships/image" Target="../media/image125.jpeg"/><Relationship Id="rId5" Type="http://schemas.openxmlformats.org/officeDocument/2006/relationships/image" Target="../media/image124.jpeg"/><Relationship Id="rId4" Type="http://schemas.openxmlformats.org/officeDocument/2006/relationships/image" Target="../media/image123.jpeg"/><Relationship Id="rId3" Type="http://schemas.openxmlformats.org/officeDocument/2006/relationships/image" Target="../media/image122.jpeg"/><Relationship Id="rId27" Type="http://schemas.openxmlformats.org/officeDocument/2006/relationships/image" Target="../media/image143.jpeg"/><Relationship Id="rId26" Type="http://schemas.openxmlformats.org/officeDocument/2006/relationships/image" Target="../media/image142.jpeg"/><Relationship Id="rId25" Type="http://schemas.openxmlformats.org/officeDocument/2006/relationships/image" Target="../media/image141.jpeg"/><Relationship Id="rId24" Type="http://schemas.openxmlformats.org/officeDocument/2006/relationships/image" Target="../media/image140.jpeg"/><Relationship Id="rId23" Type="http://schemas.openxmlformats.org/officeDocument/2006/relationships/image" Target="../media/image3.jpeg"/><Relationship Id="rId22" Type="http://schemas.openxmlformats.org/officeDocument/2006/relationships/image" Target="../media/image139.jpeg"/><Relationship Id="rId21" Type="http://schemas.openxmlformats.org/officeDocument/2006/relationships/image" Target="../media/image138.jpeg"/><Relationship Id="rId20" Type="http://schemas.openxmlformats.org/officeDocument/2006/relationships/image" Target="../media/image76.jpeg"/><Relationship Id="rId2" Type="http://schemas.openxmlformats.org/officeDocument/2006/relationships/image" Target="../media/image121.jpeg"/><Relationship Id="rId19" Type="http://schemas.openxmlformats.org/officeDocument/2006/relationships/image" Target="../media/image137.png"/><Relationship Id="rId18" Type="http://schemas.openxmlformats.org/officeDocument/2006/relationships/image" Target="../media/image136.jpeg"/><Relationship Id="rId17" Type="http://schemas.openxmlformats.org/officeDocument/2006/relationships/image" Target="../media/image135.jpeg"/><Relationship Id="rId16" Type="http://schemas.openxmlformats.org/officeDocument/2006/relationships/image" Target="../media/image134.jpeg"/><Relationship Id="rId15" Type="http://schemas.openxmlformats.org/officeDocument/2006/relationships/image" Target="../media/image96.jpeg"/><Relationship Id="rId14" Type="http://schemas.openxmlformats.org/officeDocument/2006/relationships/image" Target="../media/image133.jpeg"/><Relationship Id="rId13" Type="http://schemas.openxmlformats.org/officeDocument/2006/relationships/image" Target="../media/image132.jpeg"/><Relationship Id="rId12" Type="http://schemas.openxmlformats.org/officeDocument/2006/relationships/image" Target="../media/image131.png"/><Relationship Id="rId11" Type="http://schemas.openxmlformats.org/officeDocument/2006/relationships/image" Target="../media/image130.png"/><Relationship Id="rId10" Type="http://schemas.openxmlformats.org/officeDocument/2006/relationships/image" Target="../media/image129.png"/><Relationship Id="rId1" Type="http://schemas.openxmlformats.org/officeDocument/2006/relationships/image" Target="../media/image120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2.jpeg"/><Relationship Id="rId8" Type="http://schemas.openxmlformats.org/officeDocument/2006/relationships/image" Target="../media/image151.jpeg"/><Relationship Id="rId7" Type="http://schemas.openxmlformats.org/officeDocument/2006/relationships/image" Target="../media/image150.png"/><Relationship Id="rId6" Type="http://schemas.openxmlformats.org/officeDocument/2006/relationships/image" Target="../media/image149.jpeg"/><Relationship Id="rId5" Type="http://schemas.openxmlformats.org/officeDocument/2006/relationships/image" Target="../media/image148.jpeg"/><Relationship Id="rId4" Type="http://schemas.openxmlformats.org/officeDocument/2006/relationships/image" Target="../media/image147.jpeg"/><Relationship Id="rId37" Type="http://schemas.openxmlformats.org/officeDocument/2006/relationships/image" Target="../media/image180.jpeg"/><Relationship Id="rId36" Type="http://schemas.openxmlformats.org/officeDocument/2006/relationships/image" Target="../media/image179.jpeg"/><Relationship Id="rId35" Type="http://schemas.openxmlformats.org/officeDocument/2006/relationships/image" Target="../media/image178.jpeg"/><Relationship Id="rId34" Type="http://schemas.openxmlformats.org/officeDocument/2006/relationships/image" Target="../media/image177.jpeg"/><Relationship Id="rId33" Type="http://schemas.openxmlformats.org/officeDocument/2006/relationships/image" Target="../media/image176.jpeg"/><Relationship Id="rId32" Type="http://schemas.openxmlformats.org/officeDocument/2006/relationships/image" Target="../media/image175.jpeg"/><Relationship Id="rId31" Type="http://schemas.openxmlformats.org/officeDocument/2006/relationships/image" Target="../media/image174.jpeg"/><Relationship Id="rId30" Type="http://schemas.openxmlformats.org/officeDocument/2006/relationships/image" Target="../media/image173.png"/><Relationship Id="rId3" Type="http://schemas.openxmlformats.org/officeDocument/2006/relationships/image" Target="../media/image146.jpeg"/><Relationship Id="rId29" Type="http://schemas.openxmlformats.org/officeDocument/2006/relationships/image" Target="../media/image172.jpeg"/><Relationship Id="rId28" Type="http://schemas.openxmlformats.org/officeDocument/2006/relationships/image" Target="../media/image171.png"/><Relationship Id="rId27" Type="http://schemas.openxmlformats.org/officeDocument/2006/relationships/image" Target="../media/image170.jpeg"/><Relationship Id="rId26" Type="http://schemas.openxmlformats.org/officeDocument/2006/relationships/image" Target="../media/image169.jpeg"/><Relationship Id="rId25" Type="http://schemas.openxmlformats.org/officeDocument/2006/relationships/image" Target="../media/image168.jpeg"/><Relationship Id="rId24" Type="http://schemas.openxmlformats.org/officeDocument/2006/relationships/image" Target="../media/image167.jpeg"/><Relationship Id="rId23" Type="http://schemas.openxmlformats.org/officeDocument/2006/relationships/image" Target="../media/image166.jpeg"/><Relationship Id="rId22" Type="http://schemas.openxmlformats.org/officeDocument/2006/relationships/image" Target="../media/image165.jpeg"/><Relationship Id="rId21" Type="http://schemas.openxmlformats.org/officeDocument/2006/relationships/image" Target="../media/image164.jpeg"/><Relationship Id="rId20" Type="http://schemas.openxmlformats.org/officeDocument/2006/relationships/image" Target="../media/image163.jpeg"/><Relationship Id="rId2" Type="http://schemas.openxmlformats.org/officeDocument/2006/relationships/image" Target="../media/image145.jpeg"/><Relationship Id="rId19" Type="http://schemas.openxmlformats.org/officeDocument/2006/relationships/image" Target="../media/image162.jpeg"/><Relationship Id="rId18" Type="http://schemas.openxmlformats.org/officeDocument/2006/relationships/image" Target="../media/image161.jpeg"/><Relationship Id="rId17" Type="http://schemas.openxmlformats.org/officeDocument/2006/relationships/image" Target="../media/image160.jpeg"/><Relationship Id="rId16" Type="http://schemas.openxmlformats.org/officeDocument/2006/relationships/image" Target="../media/image159.jpeg"/><Relationship Id="rId15" Type="http://schemas.openxmlformats.org/officeDocument/2006/relationships/image" Target="../media/image158.jpeg"/><Relationship Id="rId14" Type="http://schemas.openxmlformats.org/officeDocument/2006/relationships/image" Target="../media/image157.jpeg"/><Relationship Id="rId13" Type="http://schemas.openxmlformats.org/officeDocument/2006/relationships/image" Target="../media/image156.jpeg"/><Relationship Id="rId12" Type="http://schemas.openxmlformats.org/officeDocument/2006/relationships/image" Target="../media/image155.jpeg"/><Relationship Id="rId11" Type="http://schemas.openxmlformats.org/officeDocument/2006/relationships/image" Target="../media/image154.jpeg"/><Relationship Id="rId10" Type="http://schemas.openxmlformats.org/officeDocument/2006/relationships/image" Target="../media/image153.jpeg"/><Relationship Id="rId1" Type="http://schemas.openxmlformats.org/officeDocument/2006/relationships/image" Target="../media/image144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172085</xdr:colOff>
      <xdr:row>2</xdr:row>
      <xdr:rowOff>33655</xdr:rowOff>
    </xdr:from>
    <xdr:to>
      <xdr:col>1</xdr:col>
      <xdr:colOff>755650</xdr:colOff>
      <xdr:row>2</xdr:row>
      <xdr:rowOff>669925</xdr:rowOff>
    </xdr:to>
    <xdr:pic>
      <xdr:nvPicPr>
        <xdr:cNvPr id="17" name="图片 16" descr="拖鞋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34085" y="1172210"/>
          <a:ext cx="583565" cy="636270"/>
        </a:xfrm>
        <a:prstGeom prst="rect">
          <a:avLst/>
        </a:prstGeom>
      </xdr:spPr>
    </xdr:pic>
    <xdr:clientData/>
  </xdr:twoCellAnchor>
  <xdr:twoCellAnchor>
    <xdr:from>
      <xdr:col>1</xdr:col>
      <xdr:colOff>168910</xdr:colOff>
      <xdr:row>3</xdr:row>
      <xdr:rowOff>38100</xdr:rowOff>
    </xdr:from>
    <xdr:to>
      <xdr:col>1</xdr:col>
      <xdr:colOff>759460</xdr:colOff>
      <xdr:row>3</xdr:row>
      <xdr:rowOff>664210</xdr:rowOff>
    </xdr:to>
    <xdr:pic>
      <xdr:nvPicPr>
        <xdr:cNvPr id="34" name="图片 3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910" y="1862455"/>
          <a:ext cx="590550" cy="626110"/>
        </a:xfrm>
        <a:prstGeom prst="rect">
          <a:avLst/>
        </a:prstGeom>
      </xdr:spPr>
    </xdr:pic>
    <xdr:clientData/>
  </xdr:twoCellAnchor>
  <xdr:twoCellAnchor editAs="oneCell">
    <xdr:from>
      <xdr:col>1</xdr:col>
      <xdr:colOff>144780</xdr:colOff>
      <xdr:row>4</xdr:row>
      <xdr:rowOff>19050</xdr:rowOff>
    </xdr:from>
    <xdr:to>
      <xdr:col>1</xdr:col>
      <xdr:colOff>783590</xdr:colOff>
      <xdr:row>4</xdr:row>
      <xdr:rowOff>657860</xdr:rowOff>
    </xdr:to>
    <xdr:pic>
      <xdr:nvPicPr>
        <xdr:cNvPr id="2" name="图片 1" descr="有友泡椒凤爪80g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06780" y="2529205"/>
          <a:ext cx="638810" cy="638810"/>
        </a:xfrm>
        <a:prstGeom prst="rect">
          <a:avLst/>
        </a:prstGeom>
      </xdr:spPr>
    </xdr:pic>
    <xdr:clientData/>
  </xdr:twoCellAnchor>
  <xdr:twoCellAnchor editAs="oneCell">
    <xdr:from>
      <xdr:col>1</xdr:col>
      <xdr:colOff>169545</xdr:colOff>
      <xdr:row>5</xdr:row>
      <xdr:rowOff>38100</xdr:rowOff>
    </xdr:from>
    <xdr:to>
      <xdr:col>1</xdr:col>
      <xdr:colOff>758190</xdr:colOff>
      <xdr:row>5</xdr:row>
      <xdr:rowOff>622300</xdr:rowOff>
    </xdr:to>
    <xdr:pic>
      <xdr:nvPicPr>
        <xdr:cNvPr id="3" name="图片 2" descr="麻辣王子辣条微麻微辣"/>
        <xdr:cNvPicPr>
          <a:picLocks noChangeAspect="1"/>
        </xdr:cNvPicPr>
      </xdr:nvPicPr>
      <xdr:blipFill>
        <a:blip r:embed="rId4"/>
        <a:srcRect b="24544"/>
        <a:stretch>
          <a:fillRect/>
        </a:stretch>
      </xdr:blipFill>
      <xdr:spPr>
        <a:xfrm>
          <a:off x="931545" y="3234055"/>
          <a:ext cx="588645" cy="584200"/>
        </a:xfrm>
        <a:prstGeom prst="roundRect">
          <a:avLst/>
        </a:prstGeom>
      </xdr:spPr>
    </xdr:pic>
    <xdr:clientData/>
  </xdr:twoCellAnchor>
  <xdr:twoCellAnchor editAs="oneCell">
    <xdr:from>
      <xdr:col>1</xdr:col>
      <xdr:colOff>163830</xdr:colOff>
      <xdr:row>6</xdr:row>
      <xdr:rowOff>28575</xdr:rowOff>
    </xdr:from>
    <xdr:to>
      <xdr:col>1</xdr:col>
      <xdr:colOff>764540</xdr:colOff>
      <xdr:row>6</xdr:row>
      <xdr:rowOff>607695</xdr:rowOff>
    </xdr:to>
    <xdr:pic>
      <xdr:nvPicPr>
        <xdr:cNvPr id="4" name="图片 3" descr="039贤哥香辣小小脆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25830" y="3910330"/>
          <a:ext cx="600710" cy="579120"/>
        </a:xfrm>
        <a:prstGeom prst="rect">
          <a:avLst/>
        </a:prstGeom>
      </xdr:spPr>
    </xdr:pic>
    <xdr:clientData/>
  </xdr:twoCellAnchor>
  <xdr:twoCellAnchor>
    <xdr:from>
      <xdr:col>1</xdr:col>
      <xdr:colOff>236220</xdr:colOff>
      <xdr:row>7</xdr:row>
      <xdr:rowOff>38100</xdr:rowOff>
    </xdr:from>
    <xdr:to>
      <xdr:col>1</xdr:col>
      <xdr:colOff>692150</xdr:colOff>
      <xdr:row>8</xdr:row>
      <xdr:rowOff>4445</xdr:rowOff>
    </xdr:to>
    <xdr:pic>
      <xdr:nvPicPr>
        <xdr:cNvPr id="6" name="图片 5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6441" t="206" r="11946" b="12261"/>
        <a:stretch>
          <a:fillRect/>
        </a:stretch>
      </xdr:blipFill>
      <xdr:spPr>
        <a:xfrm>
          <a:off x="998220" y="4605655"/>
          <a:ext cx="455930" cy="652145"/>
        </a:xfrm>
        <a:prstGeom prst="rect">
          <a:avLst/>
        </a:prstGeom>
      </xdr:spPr>
    </xdr:pic>
    <xdr:clientData/>
  </xdr:twoCellAnchor>
  <xdr:twoCellAnchor editAs="oneCell">
    <xdr:from>
      <xdr:col>1</xdr:col>
      <xdr:colOff>158115</xdr:colOff>
      <xdr:row>8</xdr:row>
      <xdr:rowOff>47625</xdr:rowOff>
    </xdr:from>
    <xdr:to>
      <xdr:col>1</xdr:col>
      <xdr:colOff>770255</xdr:colOff>
      <xdr:row>8</xdr:row>
      <xdr:rowOff>659765</xdr:rowOff>
    </xdr:to>
    <xdr:pic>
      <xdr:nvPicPr>
        <xdr:cNvPr id="7" name="图片 6" descr="百草味柠檬凤爪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20115" y="5300980"/>
          <a:ext cx="612140" cy="612140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9</xdr:row>
      <xdr:rowOff>19050</xdr:rowOff>
    </xdr:from>
    <xdr:to>
      <xdr:col>1</xdr:col>
      <xdr:colOff>792480</xdr:colOff>
      <xdr:row>9</xdr:row>
      <xdr:rowOff>676275</xdr:rowOff>
    </xdr:to>
    <xdr:pic>
      <xdr:nvPicPr>
        <xdr:cNvPr id="8" name="图片 7" descr="百草味去骨鸭掌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97255" y="5958205"/>
          <a:ext cx="657225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172720</xdr:colOff>
      <xdr:row>10</xdr:row>
      <xdr:rowOff>47625</xdr:rowOff>
    </xdr:from>
    <xdr:to>
      <xdr:col>1</xdr:col>
      <xdr:colOff>755650</xdr:colOff>
      <xdr:row>10</xdr:row>
      <xdr:rowOff>630555</xdr:rowOff>
    </xdr:to>
    <xdr:pic>
      <xdr:nvPicPr>
        <xdr:cNvPr id="9" name="图片 8" descr="小胡鸭柠檬酸辣凤爪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34720" y="6672580"/>
          <a:ext cx="582930" cy="58293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180340</xdr:colOff>
      <xdr:row>11</xdr:row>
      <xdr:rowOff>40640</xdr:rowOff>
    </xdr:from>
    <xdr:to>
      <xdr:col>1</xdr:col>
      <xdr:colOff>748030</xdr:colOff>
      <xdr:row>11</xdr:row>
      <xdr:rowOff>601980</xdr:rowOff>
    </xdr:to>
    <xdr:pic>
      <xdr:nvPicPr>
        <xdr:cNvPr id="10" name="图片 9" descr="袜子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42340" y="7351395"/>
          <a:ext cx="567690" cy="561340"/>
        </a:xfrm>
        <a:prstGeom prst="rect">
          <a:avLst/>
        </a:prstGeom>
      </xdr:spPr>
    </xdr:pic>
    <xdr:clientData/>
  </xdr:twoCellAnchor>
  <xdr:twoCellAnchor editAs="oneCell">
    <xdr:from>
      <xdr:col>1</xdr:col>
      <xdr:colOff>197485</xdr:colOff>
      <xdr:row>12</xdr:row>
      <xdr:rowOff>74930</xdr:rowOff>
    </xdr:from>
    <xdr:to>
      <xdr:col>1</xdr:col>
      <xdr:colOff>730250</xdr:colOff>
      <xdr:row>12</xdr:row>
      <xdr:rowOff>613410</xdr:rowOff>
    </xdr:to>
    <xdr:pic>
      <xdr:nvPicPr>
        <xdr:cNvPr id="11" name="图片 10" descr="袜子中筒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59485" y="8071485"/>
          <a:ext cx="532765" cy="538480"/>
        </a:xfrm>
        <a:prstGeom prst="rect">
          <a:avLst/>
        </a:prstGeom>
      </xdr:spPr>
    </xdr:pic>
    <xdr:clientData/>
  </xdr:twoCellAnchor>
  <xdr:twoCellAnchor editAs="oneCell">
    <xdr:from>
      <xdr:col>1</xdr:col>
      <xdr:colOff>168275</xdr:colOff>
      <xdr:row>16</xdr:row>
      <xdr:rowOff>57150</xdr:rowOff>
    </xdr:from>
    <xdr:to>
      <xdr:col>1</xdr:col>
      <xdr:colOff>759460</xdr:colOff>
      <xdr:row>16</xdr:row>
      <xdr:rowOff>648335</xdr:rowOff>
    </xdr:to>
    <xdr:pic>
      <xdr:nvPicPr>
        <xdr:cNvPr id="12" name="图片 11" descr="百草味带籽鱿鱼仔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30275" y="10796905"/>
          <a:ext cx="591185" cy="591185"/>
        </a:xfrm>
        <a:prstGeom prst="rect">
          <a:avLst/>
        </a:prstGeom>
      </xdr:spPr>
    </xdr:pic>
    <xdr:clientData/>
  </xdr:twoCellAnchor>
  <xdr:twoCellAnchor editAs="oneCell">
    <xdr:from>
      <xdr:col>1</xdr:col>
      <xdr:colOff>187960</xdr:colOff>
      <xdr:row>13</xdr:row>
      <xdr:rowOff>76200</xdr:rowOff>
    </xdr:from>
    <xdr:to>
      <xdr:col>1</xdr:col>
      <xdr:colOff>740410</xdr:colOff>
      <xdr:row>13</xdr:row>
      <xdr:rowOff>628650</xdr:rowOff>
    </xdr:to>
    <xdr:pic>
      <xdr:nvPicPr>
        <xdr:cNvPr id="13" name="图片 12" descr="百草味风琴鱿鱼片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9960" y="8758555"/>
          <a:ext cx="552450" cy="552450"/>
        </a:xfrm>
        <a:prstGeom prst="rect">
          <a:avLst/>
        </a:prstGeom>
      </xdr:spPr>
    </xdr:pic>
    <xdr:clientData/>
  </xdr:twoCellAnchor>
  <xdr:twoCellAnchor editAs="oneCell">
    <xdr:from>
      <xdr:col>1</xdr:col>
      <xdr:colOff>153670</xdr:colOff>
      <xdr:row>14</xdr:row>
      <xdr:rowOff>37465</xdr:rowOff>
    </xdr:from>
    <xdr:to>
      <xdr:col>1</xdr:col>
      <xdr:colOff>774700</xdr:colOff>
      <xdr:row>14</xdr:row>
      <xdr:rowOff>658495</xdr:rowOff>
    </xdr:to>
    <xdr:pic>
      <xdr:nvPicPr>
        <xdr:cNvPr id="14" name="图片 13" descr="百草味鱿鱼须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15670" y="9405620"/>
          <a:ext cx="621030" cy="621030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15</xdr:row>
      <xdr:rowOff>85725</xdr:rowOff>
    </xdr:from>
    <xdr:to>
      <xdr:col>1</xdr:col>
      <xdr:colOff>745490</xdr:colOff>
      <xdr:row>15</xdr:row>
      <xdr:rowOff>648335</xdr:rowOff>
    </xdr:to>
    <xdr:pic>
      <xdr:nvPicPr>
        <xdr:cNvPr id="15" name="图片 14" descr="百草味风琴鱿鱼片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4880" y="10139680"/>
          <a:ext cx="562610" cy="562610"/>
        </a:xfrm>
        <a:prstGeom prst="rect">
          <a:avLst/>
        </a:prstGeom>
      </xdr:spPr>
    </xdr:pic>
    <xdr:clientData/>
  </xdr:twoCellAnchor>
  <xdr:twoCellAnchor editAs="oneCell">
    <xdr:from>
      <xdr:col>1</xdr:col>
      <xdr:colOff>172720</xdr:colOff>
      <xdr:row>17</xdr:row>
      <xdr:rowOff>57150</xdr:rowOff>
    </xdr:from>
    <xdr:to>
      <xdr:col>1</xdr:col>
      <xdr:colOff>755015</xdr:colOff>
      <xdr:row>17</xdr:row>
      <xdr:rowOff>639445</xdr:rowOff>
    </xdr:to>
    <xdr:pic>
      <xdr:nvPicPr>
        <xdr:cNvPr id="16" name="图片 15" descr="绿帝干贝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34720" y="11482705"/>
          <a:ext cx="582295" cy="582295"/>
        </a:xfrm>
        <a:prstGeom prst="rect">
          <a:avLst/>
        </a:prstGeom>
      </xdr:spPr>
    </xdr:pic>
    <xdr:clientData/>
  </xdr:twoCellAnchor>
  <xdr:twoCellAnchor editAs="oneCell">
    <xdr:from>
      <xdr:col>1</xdr:col>
      <xdr:colOff>167640</xdr:colOff>
      <xdr:row>18</xdr:row>
      <xdr:rowOff>76200</xdr:rowOff>
    </xdr:from>
    <xdr:to>
      <xdr:col>1</xdr:col>
      <xdr:colOff>760730</xdr:colOff>
      <xdr:row>18</xdr:row>
      <xdr:rowOff>669290</xdr:rowOff>
    </xdr:to>
    <xdr:pic>
      <xdr:nvPicPr>
        <xdr:cNvPr id="18" name="图片 17" descr="绿帝本港墨鱼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929640" y="12187555"/>
          <a:ext cx="593090" cy="593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178435</xdr:colOff>
      <xdr:row>19</xdr:row>
      <xdr:rowOff>66675</xdr:rowOff>
    </xdr:from>
    <xdr:to>
      <xdr:col>1</xdr:col>
      <xdr:colOff>749935</xdr:colOff>
      <xdr:row>19</xdr:row>
      <xdr:rowOff>638175</xdr:rowOff>
    </xdr:to>
    <xdr:pic>
      <xdr:nvPicPr>
        <xdr:cNvPr id="19" name="图片 18" descr="沪美祛斑霜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40435" y="12863830"/>
          <a:ext cx="5715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181610</xdr:colOff>
      <xdr:row>20</xdr:row>
      <xdr:rowOff>76200</xdr:rowOff>
    </xdr:from>
    <xdr:to>
      <xdr:col>1</xdr:col>
      <xdr:colOff>746760</xdr:colOff>
      <xdr:row>20</xdr:row>
      <xdr:rowOff>641350</xdr:rowOff>
    </xdr:to>
    <xdr:pic>
      <xdr:nvPicPr>
        <xdr:cNvPr id="20" name="图片 19" descr="班特宁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943610" y="13559155"/>
          <a:ext cx="565150" cy="56515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21</xdr:row>
      <xdr:rowOff>76200</xdr:rowOff>
    </xdr:from>
    <xdr:to>
      <xdr:col>1</xdr:col>
      <xdr:colOff>749935</xdr:colOff>
      <xdr:row>21</xdr:row>
      <xdr:rowOff>648335</xdr:rowOff>
    </xdr:to>
    <xdr:pic>
      <xdr:nvPicPr>
        <xdr:cNvPr id="21" name="图片 20" descr="泡面锅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939800" y="14244955"/>
          <a:ext cx="572135" cy="572135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29</xdr:row>
      <xdr:rowOff>47625</xdr:rowOff>
    </xdr:from>
    <xdr:to>
      <xdr:col>1</xdr:col>
      <xdr:colOff>749935</xdr:colOff>
      <xdr:row>29</xdr:row>
      <xdr:rowOff>619760</xdr:rowOff>
    </xdr:to>
    <xdr:pic>
      <xdr:nvPicPr>
        <xdr:cNvPr id="22" name="图片 21" descr="九阳电饭煲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939800" y="19702780"/>
          <a:ext cx="572135" cy="572135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30</xdr:row>
      <xdr:rowOff>28575</xdr:rowOff>
    </xdr:from>
    <xdr:to>
      <xdr:col>1</xdr:col>
      <xdr:colOff>749935</xdr:colOff>
      <xdr:row>30</xdr:row>
      <xdr:rowOff>600710</xdr:rowOff>
    </xdr:to>
    <xdr:pic>
      <xdr:nvPicPr>
        <xdr:cNvPr id="23" name="图片 22" descr="美的电饭煲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939800" y="20369530"/>
          <a:ext cx="572135" cy="572135"/>
        </a:xfrm>
        <a:prstGeom prst="rect">
          <a:avLst/>
        </a:prstGeom>
      </xdr:spPr>
    </xdr:pic>
    <xdr:clientData/>
  </xdr:twoCellAnchor>
  <xdr:twoCellAnchor editAs="oneCell">
    <xdr:from>
      <xdr:col>1</xdr:col>
      <xdr:colOff>175895</xdr:colOff>
      <xdr:row>22</xdr:row>
      <xdr:rowOff>76200</xdr:rowOff>
    </xdr:from>
    <xdr:to>
      <xdr:col>1</xdr:col>
      <xdr:colOff>751840</xdr:colOff>
      <xdr:row>22</xdr:row>
      <xdr:rowOff>652145</xdr:rowOff>
    </xdr:to>
    <xdr:pic>
      <xdr:nvPicPr>
        <xdr:cNvPr id="24" name="图片 23" descr="笑脸方巾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937895" y="149307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175895</xdr:colOff>
      <xdr:row>23</xdr:row>
      <xdr:rowOff>38100</xdr:rowOff>
    </xdr:from>
    <xdr:to>
      <xdr:col>1</xdr:col>
      <xdr:colOff>751840</xdr:colOff>
      <xdr:row>23</xdr:row>
      <xdr:rowOff>614045</xdr:rowOff>
    </xdr:to>
    <xdr:pic>
      <xdr:nvPicPr>
        <xdr:cNvPr id="25" name="图片 24" descr="素色方巾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937895" y="155784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24</xdr:row>
      <xdr:rowOff>19050</xdr:rowOff>
    </xdr:from>
    <xdr:to>
      <xdr:col>1</xdr:col>
      <xdr:colOff>775335</xdr:colOff>
      <xdr:row>24</xdr:row>
      <xdr:rowOff>594995</xdr:rowOff>
    </xdr:to>
    <xdr:pic>
      <xdr:nvPicPr>
        <xdr:cNvPr id="26" name="图片 25" descr="绣花方巾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14400" y="16245205"/>
          <a:ext cx="62293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220345</xdr:colOff>
      <xdr:row>25</xdr:row>
      <xdr:rowOff>76200</xdr:rowOff>
    </xdr:from>
    <xdr:to>
      <xdr:col>1</xdr:col>
      <xdr:colOff>708025</xdr:colOff>
      <xdr:row>25</xdr:row>
      <xdr:rowOff>652145</xdr:rowOff>
    </xdr:to>
    <xdr:pic>
      <xdr:nvPicPr>
        <xdr:cNvPr id="27" name="图片 26" descr="压花方巾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982345" y="16988155"/>
          <a:ext cx="487680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81915</xdr:colOff>
      <xdr:row>26</xdr:row>
      <xdr:rowOff>57150</xdr:rowOff>
    </xdr:from>
    <xdr:to>
      <xdr:col>1</xdr:col>
      <xdr:colOff>845820</xdr:colOff>
      <xdr:row>26</xdr:row>
      <xdr:rowOff>633095</xdr:rowOff>
    </xdr:to>
    <xdr:pic>
      <xdr:nvPicPr>
        <xdr:cNvPr id="28" name="图片 27" descr="浴巾翠绿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843915" y="17654905"/>
          <a:ext cx="76390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27</xdr:row>
      <xdr:rowOff>38100</xdr:rowOff>
    </xdr:from>
    <xdr:to>
      <xdr:col>1</xdr:col>
      <xdr:colOff>861695</xdr:colOff>
      <xdr:row>27</xdr:row>
      <xdr:rowOff>614045</xdr:rowOff>
    </xdr:to>
    <xdr:pic>
      <xdr:nvPicPr>
        <xdr:cNvPr id="29" name="图片 28" descr="浴巾浅粉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828675" y="18321655"/>
          <a:ext cx="795020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78740</xdr:colOff>
      <xdr:row>28</xdr:row>
      <xdr:rowOff>47625</xdr:rowOff>
    </xdr:from>
    <xdr:to>
      <xdr:col>1</xdr:col>
      <xdr:colOff>849630</xdr:colOff>
      <xdr:row>28</xdr:row>
      <xdr:rowOff>623570</xdr:rowOff>
    </xdr:to>
    <xdr:pic>
      <xdr:nvPicPr>
        <xdr:cNvPr id="30" name="图片 29" descr="浴巾纯白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40740" y="19016980"/>
          <a:ext cx="770890" cy="5759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137795</xdr:colOff>
      <xdr:row>2</xdr:row>
      <xdr:rowOff>76200</xdr:rowOff>
    </xdr:from>
    <xdr:to>
      <xdr:col>1</xdr:col>
      <xdr:colOff>713740</xdr:colOff>
      <xdr:row>2</xdr:row>
      <xdr:rowOff>657225</xdr:rowOff>
    </xdr:to>
    <xdr:pic>
      <xdr:nvPicPr>
        <xdr:cNvPr id="48" name="图片 47" descr="纸树开花圣诞树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7795" y="1214755"/>
          <a:ext cx="575945" cy="58102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</xdr:row>
      <xdr:rowOff>69850</xdr:rowOff>
    </xdr:from>
    <xdr:to>
      <xdr:col>1</xdr:col>
      <xdr:colOff>713740</xdr:colOff>
      <xdr:row>3</xdr:row>
      <xdr:rowOff>645795</xdr:rowOff>
    </xdr:to>
    <xdr:pic>
      <xdr:nvPicPr>
        <xdr:cNvPr id="49" name="图片 48" descr="海氏海诺呼吸闭口贴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7795" y="189420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</xdr:row>
      <xdr:rowOff>77470</xdr:rowOff>
    </xdr:from>
    <xdr:to>
      <xdr:col>1</xdr:col>
      <xdr:colOff>713740</xdr:colOff>
      <xdr:row>4</xdr:row>
      <xdr:rowOff>653415</xdr:rowOff>
    </xdr:to>
    <xdr:pic>
      <xdr:nvPicPr>
        <xdr:cNvPr id="50" name="图片 49" descr="凯蒂猫浴花搓澡手套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7795" y="258762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5</xdr:row>
      <xdr:rowOff>56515</xdr:rowOff>
    </xdr:from>
    <xdr:to>
      <xdr:col>1</xdr:col>
      <xdr:colOff>713740</xdr:colOff>
      <xdr:row>5</xdr:row>
      <xdr:rowOff>632460</xdr:rowOff>
    </xdr:to>
    <xdr:pic>
      <xdr:nvPicPr>
        <xdr:cNvPr id="51" name="图片 50" descr="眼镜布清洁湿巾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7795" y="325247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6</xdr:row>
      <xdr:rowOff>54610</xdr:rowOff>
    </xdr:from>
    <xdr:to>
      <xdr:col>1</xdr:col>
      <xdr:colOff>713740</xdr:colOff>
      <xdr:row>6</xdr:row>
      <xdr:rowOff>630555</xdr:rowOff>
    </xdr:to>
    <xdr:pic>
      <xdr:nvPicPr>
        <xdr:cNvPr id="52" name="图片 51" descr="蜡笔小新取件门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7795" y="393636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7</xdr:row>
      <xdr:rowOff>43180</xdr:rowOff>
    </xdr:from>
    <xdr:to>
      <xdr:col>1</xdr:col>
      <xdr:colOff>713740</xdr:colOff>
      <xdr:row>7</xdr:row>
      <xdr:rowOff>619125</xdr:rowOff>
    </xdr:to>
    <xdr:pic>
      <xdr:nvPicPr>
        <xdr:cNvPr id="53" name="图片 52" descr="加厚磨砂骰子盅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7795" y="461073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8</xdr:row>
      <xdr:rowOff>60325</xdr:rowOff>
    </xdr:from>
    <xdr:to>
      <xdr:col>1</xdr:col>
      <xdr:colOff>713740</xdr:colOff>
      <xdr:row>8</xdr:row>
      <xdr:rowOff>636270</xdr:rowOff>
    </xdr:to>
    <xdr:pic>
      <xdr:nvPicPr>
        <xdr:cNvPr id="54" name="图片 53" descr="14号骰子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7795" y="53136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9</xdr:row>
      <xdr:rowOff>48895</xdr:rowOff>
    </xdr:from>
    <xdr:to>
      <xdr:col>1</xdr:col>
      <xdr:colOff>713740</xdr:colOff>
      <xdr:row>9</xdr:row>
      <xdr:rowOff>624840</xdr:rowOff>
    </xdr:to>
    <xdr:pic>
      <xdr:nvPicPr>
        <xdr:cNvPr id="55" name="图片 54" descr="蜡笔小新全自动透明伞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7795" y="598805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10</xdr:row>
      <xdr:rowOff>27940</xdr:rowOff>
    </xdr:from>
    <xdr:to>
      <xdr:col>1</xdr:col>
      <xdr:colOff>713740</xdr:colOff>
      <xdr:row>10</xdr:row>
      <xdr:rowOff>603885</xdr:rowOff>
    </xdr:to>
    <xdr:pic>
      <xdr:nvPicPr>
        <xdr:cNvPr id="56" name="图片 55" descr="酒桌神器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7795" y="665289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11</xdr:row>
      <xdr:rowOff>64135</xdr:rowOff>
    </xdr:from>
    <xdr:to>
      <xdr:col>1</xdr:col>
      <xdr:colOff>713740</xdr:colOff>
      <xdr:row>11</xdr:row>
      <xdr:rowOff>640080</xdr:rowOff>
    </xdr:to>
    <xdr:pic>
      <xdr:nvPicPr>
        <xdr:cNvPr id="57" name="图片 56" descr="微缩景观贴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7795" y="737489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12</xdr:row>
      <xdr:rowOff>62230</xdr:rowOff>
    </xdr:from>
    <xdr:to>
      <xdr:col>1</xdr:col>
      <xdr:colOff>713740</xdr:colOff>
      <xdr:row>12</xdr:row>
      <xdr:rowOff>638175</xdr:rowOff>
    </xdr:to>
    <xdr:pic>
      <xdr:nvPicPr>
        <xdr:cNvPr id="58" name="图片 57" descr="微缩瓶子盲袋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37795" y="805878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13</xdr:row>
      <xdr:rowOff>69850</xdr:rowOff>
    </xdr:from>
    <xdr:to>
      <xdr:col>1</xdr:col>
      <xdr:colOff>713740</xdr:colOff>
      <xdr:row>13</xdr:row>
      <xdr:rowOff>645795</xdr:rowOff>
    </xdr:to>
    <xdr:pic>
      <xdr:nvPicPr>
        <xdr:cNvPr id="59" name="图片 58" descr="水果椰椰发圈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37795" y="875220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14</xdr:row>
      <xdr:rowOff>48895</xdr:rowOff>
    </xdr:from>
    <xdr:to>
      <xdr:col>1</xdr:col>
      <xdr:colOff>713740</xdr:colOff>
      <xdr:row>14</xdr:row>
      <xdr:rowOff>624840</xdr:rowOff>
    </xdr:to>
    <xdr:pic>
      <xdr:nvPicPr>
        <xdr:cNvPr id="60" name="图片 59" descr="麻将筹码代币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7795" y="941705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15</xdr:row>
      <xdr:rowOff>46990</xdr:rowOff>
    </xdr:from>
    <xdr:to>
      <xdr:col>1</xdr:col>
      <xdr:colOff>713740</xdr:colOff>
      <xdr:row>15</xdr:row>
      <xdr:rowOff>622935</xdr:rowOff>
    </xdr:to>
    <xdr:pic>
      <xdr:nvPicPr>
        <xdr:cNvPr id="61" name="图片 60" descr="水波纹网红灯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37795" y="1010094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16</xdr:row>
      <xdr:rowOff>45085</xdr:rowOff>
    </xdr:from>
    <xdr:to>
      <xdr:col>1</xdr:col>
      <xdr:colOff>713740</xdr:colOff>
      <xdr:row>16</xdr:row>
      <xdr:rowOff>621030</xdr:rowOff>
    </xdr:to>
    <xdr:pic>
      <xdr:nvPicPr>
        <xdr:cNvPr id="62" name="图片 61" descr="俄罗斯转盘16杯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37795" y="1078484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17</xdr:row>
      <xdr:rowOff>62230</xdr:rowOff>
    </xdr:from>
    <xdr:to>
      <xdr:col>1</xdr:col>
      <xdr:colOff>713740</xdr:colOff>
      <xdr:row>17</xdr:row>
      <xdr:rowOff>638175</xdr:rowOff>
    </xdr:to>
    <xdr:pic>
      <xdr:nvPicPr>
        <xdr:cNvPr id="63" name="图片 62" descr="桌游卡牌三国杀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37795" y="1148778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126365</xdr:colOff>
      <xdr:row>18</xdr:row>
      <xdr:rowOff>60325</xdr:rowOff>
    </xdr:from>
    <xdr:to>
      <xdr:col>1</xdr:col>
      <xdr:colOff>725805</xdr:colOff>
      <xdr:row>18</xdr:row>
      <xdr:rowOff>636270</xdr:rowOff>
    </xdr:to>
    <xdr:pic>
      <xdr:nvPicPr>
        <xdr:cNvPr id="64" name="图片 63" descr="快递开箱手工刀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26365" y="12171680"/>
          <a:ext cx="599440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19</xdr:row>
      <xdr:rowOff>67945</xdr:rowOff>
    </xdr:from>
    <xdr:to>
      <xdr:col>1</xdr:col>
      <xdr:colOff>713740</xdr:colOff>
      <xdr:row>19</xdr:row>
      <xdr:rowOff>643890</xdr:rowOff>
    </xdr:to>
    <xdr:pic>
      <xdr:nvPicPr>
        <xdr:cNvPr id="65" name="图片 64" descr="强力清洁胶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37795" y="1286510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20</xdr:row>
      <xdr:rowOff>66040</xdr:rowOff>
    </xdr:from>
    <xdr:to>
      <xdr:col>1</xdr:col>
      <xdr:colOff>713740</xdr:colOff>
      <xdr:row>20</xdr:row>
      <xdr:rowOff>641985</xdr:rowOff>
    </xdr:to>
    <xdr:pic>
      <xdr:nvPicPr>
        <xdr:cNvPr id="66" name="图片 65" descr="圣诞派对盲盒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7795" y="1354899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21</xdr:row>
      <xdr:rowOff>26035</xdr:rowOff>
    </xdr:from>
    <xdr:to>
      <xdr:col>1</xdr:col>
      <xdr:colOff>713740</xdr:colOff>
      <xdr:row>21</xdr:row>
      <xdr:rowOff>601980</xdr:rowOff>
    </xdr:to>
    <xdr:pic>
      <xdr:nvPicPr>
        <xdr:cNvPr id="67" name="图片 66" descr="圣诞发夹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37795" y="1419479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22</xdr:row>
      <xdr:rowOff>62230</xdr:rowOff>
    </xdr:from>
    <xdr:to>
      <xdr:col>1</xdr:col>
      <xdr:colOff>713740</xdr:colOff>
      <xdr:row>22</xdr:row>
      <xdr:rowOff>638175</xdr:rowOff>
    </xdr:to>
    <xdr:pic>
      <xdr:nvPicPr>
        <xdr:cNvPr id="68" name="图片 67" descr="荧光棒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37795" y="1491678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23</xdr:row>
      <xdr:rowOff>50800</xdr:rowOff>
    </xdr:from>
    <xdr:to>
      <xdr:col>1</xdr:col>
      <xdr:colOff>713740</xdr:colOff>
      <xdr:row>23</xdr:row>
      <xdr:rowOff>626745</xdr:rowOff>
    </xdr:to>
    <xdr:pic>
      <xdr:nvPicPr>
        <xdr:cNvPr id="69" name="图片 68" descr="杰士邦精子质量活力检测纸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37795" y="155911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24</xdr:row>
      <xdr:rowOff>67945</xdr:rowOff>
    </xdr:from>
    <xdr:to>
      <xdr:col>1</xdr:col>
      <xdr:colOff>714375</xdr:colOff>
      <xdr:row>24</xdr:row>
      <xdr:rowOff>643890</xdr:rowOff>
    </xdr:to>
    <xdr:pic>
      <xdr:nvPicPr>
        <xdr:cNvPr id="70" name="图片 69" descr="降噪耳塞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37795" y="16294100"/>
          <a:ext cx="576580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25</xdr:row>
      <xdr:rowOff>66040</xdr:rowOff>
    </xdr:from>
    <xdr:to>
      <xdr:col>1</xdr:col>
      <xdr:colOff>714375</xdr:colOff>
      <xdr:row>25</xdr:row>
      <xdr:rowOff>641985</xdr:rowOff>
    </xdr:to>
    <xdr:pic>
      <xdr:nvPicPr>
        <xdr:cNvPr id="71" name="图片 70" descr="罗马柱香薰蜡烛 红+黑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37795" y="16977995"/>
          <a:ext cx="576580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26</xdr:row>
      <xdr:rowOff>73660</xdr:rowOff>
    </xdr:from>
    <xdr:to>
      <xdr:col>1</xdr:col>
      <xdr:colOff>714375</xdr:colOff>
      <xdr:row>26</xdr:row>
      <xdr:rowOff>649605</xdr:rowOff>
    </xdr:to>
    <xdr:pic>
      <xdr:nvPicPr>
        <xdr:cNvPr id="72" name="图片 71" descr="圣诞节糖果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37795" y="17671415"/>
          <a:ext cx="576580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27</xdr:row>
      <xdr:rowOff>81280</xdr:rowOff>
    </xdr:from>
    <xdr:to>
      <xdr:col>1</xdr:col>
      <xdr:colOff>713740</xdr:colOff>
      <xdr:row>27</xdr:row>
      <xdr:rowOff>657225</xdr:rowOff>
    </xdr:to>
    <xdr:pic>
      <xdr:nvPicPr>
        <xdr:cNvPr id="73" name="图片 72" descr="于小鲜辣糊糊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37795" y="1836483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28</xdr:row>
      <xdr:rowOff>50800</xdr:rowOff>
    </xdr:from>
    <xdr:to>
      <xdr:col>1</xdr:col>
      <xdr:colOff>713740</xdr:colOff>
      <xdr:row>28</xdr:row>
      <xdr:rowOff>626745</xdr:rowOff>
    </xdr:to>
    <xdr:pic>
      <xdr:nvPicPr>
        <xdr:cNvPr id="74" name="图片 73" descr="葵花晕车贴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37795" y="190201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31</xdr:row>
      <xdr:rowOff>67945</xdr:rowOff>
    </xdr:from>
    <xdr:to>
      <xdr:col>1</xdr:col>
      <xdr:colOff>713740</xdr:colOff>
      <xdr:row>31</xdr:row>
      <xdr:rowOff>643890</xdr:rowOff>
    </xdr:to>
    <xdr:pic>
      <xdr:nvPicPr>
        <xdr:cNvPr id="75" name="图片 74" descr="翠宏辣椒面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37795" y="2109470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32</xdr:row>
      <xdr:rowOff>75565</xdr:rowOff>
    </xdr:from>
    <xdr:to>
      <xdr:col>1</xdr:col>
      <xdr:colOff>713740</xdr:colOff>
      <xdr:row>32</xdr:row>
      <xdr:rowOff>651510</xdr:rowOff>
    </xdr:to>
    <xdr:pic>
      <xdr:nvPicPr>
        <xdr:cNvPr id="76" name="图片 75" descr="茶颜悦色茉莉薯条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37795" y="2178812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33</xdr:row>
      <xdr:rowOff>45085</xdr:rowOff>
    </xdr:from>
    <xdr:to>
      <xdr:col>1</xdr:col>
      <xdr:colOff>713740</xdr:colOff>
      <xdr:row>33</xdr:row>
      <xdr:rowOff>621030</xdr:rowOff>
    </xdr:to>
    <xdr:pic>
      <xdr:nvPicPr>
        <xdr:cNvPr id="77" name="图片 76" descr="洗象堂吸汁面藕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37795" y="2244344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34</xdr:row>
      <xdr:rowOff>81280</xdr:rowOff>
    </xdr:from>
    <xdr:to>
      <xdr:col>1</xdr:col>
      <xdr:colOff>713740</xdr:colOff>
      <xdr:row>34</xdr:row>
      <xdr:rowOff>657225</xdr:rowOff>
    </xdr:to>
    <xdr:pic>
      <xdr:nvPicPr>
        <xdr:cNvPr id="78" name="图片 77" descr="川娃子皮蛋烧椒酱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37795" y="2316543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35</xdr:row>
      <xdr:rowOff>60325</xdr:rowOff>
    </xdr:from>
    <xdr:to>
      <xdr:col>1</xdr:col>
      <xdr:colOff>713740</xdr:colOff>
      <xdr:row>35</xdr:row>
      <xdr:rowOff>636270</xdr:rowOff>
    </xdr:to>
    <xdr:pic>
      <xdr:nvPicPr>
        <xdr:cNvPr id="79" name="图片 78" descr="手指教鞭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37795" y="238302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36</xdr:row>
      <xdr:rowOff>39370</xdr:rowOff>
    </xdr:from>
    <xdr:to>
      <xdr:col>1</xdr:col>
      <xdr:colOff>713740</xdr:colOff>
      <xdr:row>36</xdr:row>
      <xdr:rowOff>615315</xdr:rowOff>
    </xdr:to>
    <xdr:pic>
      <xdr:nvPicPr>
        <xdr:cNvPr id="80" name="图片 79" descr="易下开塞露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37795" y="2449512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37</xdr:row>
      <xdr:rowOff>113665</xdr:rowOff>
    </xdr:from>
    <xdr:to>
      <xdr:col>1</xdr:col>
      <xdr:colOff>713740</xdr:colOff>
      <xdr:row>38</xdr:row>
      <xdr:rowOff>3810</xdr:rowOff>
    </xdr:to>
    <xdr:pic>
      <xdr:nvPicPr>
        <xdr:cNvPr id="81" name="图片 80" descr="爆单符摇摇乐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37795" y="2525522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38</xdr:row>
      <xdr:rowOff>54610</xdr:rowOff>
    </xdr:from>
    <xdr:to>
      <xdr:col>1</xdr:col>
      <xdr:colOff>713740</xdr:colOff>
      <xdr:row>38</xdr:row>
      <xdr:rowOff>630555</xdr:rowOff>
    </xdr:to>
    <xdr:pic>
      <xdr:nvPicPr>
        <xdr:cNvPr id="82" name="图片 81" descr="白钻吉利丁片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37795" y="2588196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39</xdr:row>
      <xdr:rowOff>52705</xdr:rowOff>
    </xdr:from>
    <xdr:to>
      <xdr:col>1</xdr:col>
      <xdr:colOff>713740</xdr:colOff>
      <xdr:row>39</xdr:row>
      <xdr:rowOff>628650</xdr:rowOff>
    </xdr:to>
    <xdr:pic>
      <xdr:nvPicPr>
        <xdr:cNvPr id="83" name="图片 82" descr="密封袋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37795" y="2656586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40</xdr:row>
      <xdr:rowOff>60325</xdr:rowOff>
    </xdr:from>
    <xdr:to>
      <xdr:col>1</xdr:col>
      <xdr:colOff>713740</xdr:colOff>
      <xdr:row>40</xdr:row>
      <xdr:rowOff>636270</xdr:rowOff>
    </xdr:to>
    <xdr:pic>
      <xdr:nvPicPr>
        <xdr:cNvPr id="84" name="图片 83" descr="白钻全脂椰蓉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37795" y="272592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41</xdr:row>
      <xdr:rowOff>29845</xdr:rowOff>
    </xdr:from>
    <xdr:to>
      <xdr:col>1</xdr:col>
      <xdr:colOff>713740</xdr:colOff>
      <xdr:row>41</xdr:row>
      <xdr:rowOff>605790</xdr:rowOff>
    </xdr:to>
    <xdr:pic>
      <xdr:nvPicPr>
        <xdr:cNvPr id="85" name="图片 84" descr="皇上皇腊肠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37795" y="2791460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42</xdr:row>
      <xdr:rowOff>56515</xdr:rowOff>
    </xdr:from>
    <xdr:to>
      <xdr:col>1</xdr:col>
      <xdr:colOff>713740</xdr:colOff>
      <xdr:row>42</xdr:row>
      <xdr:rowOff>632460</xdr:rowOff>
    </xdr:to>
    <xdr:pic>
      <xdr:nvPicPr>
        <xdr:cNvPr id="86" name="图片 85" descr="香炒外婆菜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37795" y="2862707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43</xdr:row>
      <xdr:rowOff>111760</xdr:rowOff>
    </xdr:from>
    <xdr:to>
      <xdr:col>1</xdr:col>
      <xdr:colOff>713740</xdr:colOff>
      <xdr:row>44</xdr:row>
      <xdr:rowOff>1905</xdr:rowOff>
    </xdr:to>
    <xdr:pic>
      <xdr:nvPicPr>
        <xdr:cNvPr id="87" name="图片 86" descr="名扬火锅底料牛油麻辣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37795" y="2936811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44</xdr:row>
      <xdr:rowOff>62230</xdr:rowOff>
    </xdr:from>
    <xdr:to>
      <xdr:col>1</xdr:col>
      <xdr:colOff>713740</xdr:colOff>
      <xdr:row>44</xdr:row>
      <xdr:rowOff>638175</xdr:rowOff>
    </xdr:to>
    <xdr:pic>
      <xdr:nvPicPr>
        <xdr:cNvPr id="88" name="图片 87" descr="干贡菜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37795" y="3000438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46</xdr:row>
      <xdr:rowOff>86995</xdr:rowOff>
    </xdr:from>
    <xdr:to>
      <xdr:col>1</xdr:col>
      <xdr:colOff>713740</xdr:colOff>
      <xdr:row>46</xdr:row>
      <xdr:rowOff>662940</xdr:rowOff>
    </xdr:to>
    <xdr:pic>
      <xdr:nvPicPr>
        <xdr:cNvPr id="90" name="图片 89" descr="兆辉锅巴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37795" y="3140075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47</xdr:row>
      <xdr:rowOff>56515</xdr:rowOff>
    </xdr:from>
    <xdr:to>
      <xdr:col>1</xdr:col>
      <xdr:colOff>713740</xdr:colOff>
      <xdr:row>47</xdr:row>
      <xdr:rowOff>632460</xdr:rowOff>
    </xdr:to>
    <xdr:pic>
      <xdr:nvPicPr>
        <xdr:cNvPr id="91" name="图片 90" descr="皇上皇腊鸭腿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37795" y="3205607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48</xdr:row>
      <xdr:rowOff>64135</xdr:rowOff>
    </xdr:from>
    <xdr:to>
      <xdr:col>1</xdr:col>
      <xdr:colOff>713740</xdr:colOff>
      <xdr:row>48</xdr:row>
      <xdr:rowOff>640080</xdr:rowOff>
    </xdr:to>
    <xdr:pic>
      <xdr:nvPicPr>
        <xdr:cNvPr id="92" name="图片 91" descr="叉烧樱桃味辣条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37795" y="3274949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49</xdr:row>
      <xdr:rowOff>52705</xdr:rowOff>
    </xdr:from>
    <xdr:to>
      <xdr:col>1</xdr:col>
      <xdr:colOff>713740</xdr:colOff>
      <xdr:row>49</xdr:row>
      <xdr:rowOff>628650</xdr:rowOff>
    </xdr:to>
    <xdr:pic>
      <xdr:nvPicPr>
        <xdr:cNvPr id="93" name="图片 92" descr="韩国乐天巧克力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37795" y="3342386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29</xdr:row>
      <xdr:rowOff>57150</xdr:rowOff>
    </xdr:from>
    <xdr:to>
      <xdr:col>1</xdr:col>
      <xdr:colOff>713740</xdr:colOff>
      <xdr:row>29</xdr:row>
      <xdr:rowOff>633095</xdr:rowOff>
    </xdr:to>
    <xdr:pic>
      <xdr:nvPicPr>
        <xdr:cNvPr id="94" name="图片 93" descr="李海龙麻辣烫微辣387g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37795" y="1971230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30</xdr:row>
      <xdr:rowOff>47625</xdr:rowOff>
    </xdr:from>
    <xdr:to>
      <xdr:col>1</xdr:col>
      <xdr:colOff>713740</xdr:colOff>
      <xdr:row>30</xdr:row>
      <xdr:rowOff>623570</xdr:rowOff>
    </xdr:to>
    <xdr:pic>
      <xdr:nvPicPr>
        <xdr:cNvPr id="95" name="图片 94" descr="李海龙麻辣烫微辣387g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37795" y="203885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45</xdr:row>
      <xdr:rowOff>66675</xdr:rowOff>
    </xdr:from>
    <xdr:to>
      <xdr:col>1</xdr:col>
      <xdr:colOff>699770</xdr:colOff>
      <xdr:row>45</xdr:row>
      <xdr:rowOff>642620</xdr:rowOff>
    </xdr:to>
    <xdr:pic>
      <xdr:nvPicPr>
        <xdr:cNvPr id="96" name="图片 95" descr="盐津铺子大魔王魔芋火鸡酱味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23825" y="30694630"/>
          <a:ext cx="575945" cy="57594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147320</xdr:colOff>
      <xdr:row>2</xdr:row>
      <xdr:rowOff>76200</xdr:rowOff>
    </xdr:from>
    <xdr:to>
      <xdr:col>1</xdr:col>
      <xdr:colOff>723265</xdr:colOff>
      <xdr:row>2</xdr:row>
      <xdr:rowOff>657225</xdr:rowOff>
    </xdr:to>
    <xdr:pic>
      <xdr:nvPicPr>
        <xdr:cNvPr id="2" name="图片 1" descr="拉面说金汤肥牛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09320" y="1214755"/>
          <a:ext cx="575945" cy="581025"/>
        </a:xfrm>
        <a:prstGeom prst="rect">
          <a:avLst/>
        </a:prstGeom>
      </xdr:spPr>
    </xdr:pic>
    <xdr:clientData/>
  </xdr:twoCellAnchor>
  <xdr:twoCellAnchor editAs="oneCell">
    <xdr:from>
      <xdr:col>1</xdr:col>
      <xdr:colOff>136525</xdr:colOff>
      <xdr:row>3</xdr:row>
      <xdr:rowOff>38100</xdr:rowOff>
    </xdr:from>
    <xdr:to>
      <xdr:col>1</xdr:col>
      <xdr:colOff>734060</xdr:colOff>
      <xdr:row>3</xdr:row>
      <xdr:rowOff>614045</xdr:rowOff>
    </xdr:to>
    <xdr:pic>
      <xdr:nvPicPr>
        <xdr:cNvPr id="3" name="图片 2" descr="039贤哥香辣小小脆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98525" y="1862455"/>
          <a:ext cx="59753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147320</xdr:colOff>
      <xdr:row>4</xdr:row>
      <xdr:rowOff>66675</xdr:rowOff>
    </xdr:from>
    <xdr:to>
      <xdr:col>1</xdr:col>
      <xdr:colOff>723265</xdr:colOff>
      <xdr:row>4</xdr:row>
      <xdr:rowOff>642620</xdr:rowOff>
    </xdr:to>
    <xdr:pic>
      <xdr:nvPicPr>
        <xdr:cNvPr id="4" name="图片 3" descr="御品萱一次性发热鞋垫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09320" y="257683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147320</xdr:colOff>
      <xdr:row>5</xdr:row>
      <xdr:rowOff>38100</xdr:rowOff>
    </xdr:from>
    <xdr:to>
      <xdr:col>1</xdr:col>
      <xdr:colOff>723265</xdr:colOff>
      <xdr:row>5</xdr:row>
      <xdr:rowOff>614045</xdr:rowOff>
    </xdr:to>
    <xdr:pic>
      <xdr:nvPicPr>
        <xdr:cNvPr id="5" name="图片 4" descr="御品萱一次性发热鞋垫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09320" y="32340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149225</xdr:colOff>
      <xdr:row>6</xdr:row>
      <xdr:rowOff>38100</xdr:rowOff>
    </xdr:from>
    <xdr:to>
      <xdr:col>1</xdr:col>
      <xdr:colOff>721360</xdr:colOff>
      <xdr:row>6</xdr:row>
      <xdr:rowOff>614045</xdr:rowOff>
    </xdr:to>
    <xdr:pic>
      <xdr:nvPicPr>
        <xdr:cNvPr id="6" name="图片 5" descr="纳盾发热鞋垫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11225" y="3919855"/>
          <a:ext cx="57213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147320</xdr:colOff>
      <xdr:row>7</xdr:row>
      <xdr:rowOff>85725</xdr:rowOff>
    </xdr:from>
    <xdr:to>
      <xdr:col>1</xdr:col>
      <xdr:colOff>723265</xdr:colOff>
      <xdr:row>7</xdr:row>
      <xdr:rowOff>661670</xdr:rowOff>
    </xdr:to>
    <xdr:pic>
      <xdr:nvPicPr>
        <xdr:cNvPr id="7" name="图片 6" descr="洁柔粉面纸巾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09320" y="46532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147320</xdr:colOff>
      <xdr:row>8</xdr:row>
      <xdr:rowOff>76200</xdr:rowOff>
    </xdr:from>
    <xdr:to>
      <xdr:col>1</xdr:col>
      <xdr:colOff>723265</xdr:colOff>
      <xdr:row>8</xdr:row>
      <xdr:rowOff>652145</xdr:rowOff>
    </xdr:to>
    <xdr:pic>
      <xdr:nvPicPr>
        <xdr:cNvPr id="8" name="图片 7" descr="洁柔粉面纸巾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09320" y="53295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147320</xdr:colOff>
      <xdr:row>9</xdr:row>
      <xdr:rowOff>57150</xdr:rowOff>
    </xdr:from>
    <xdr:to>
      <xdr:col>1</xdr:col>
      <xdr:colOff>723265</xdr:colOff>
      <xdr:row>9</xdr:row>
      <xdr:rowOff>633095</xdr:rowOff>
    </xdr:to>
    <xdr:pic>
      <xdr:nvPicPr>
        <xdr:cNvPr id="9" name="图片 8" descr="洁柔卷纸140g黑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09320" y="599630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147320</xdr:colOff>
      <xdr:row>10</xdr:row>
      <xdr:rowOff>66675</xdr:rowOff>
    </xdr:from>
    <xdr:to>
      <xdr:col>1</xdr:col>
      <xdr:colOff>723265</xdr:colOff>
      <xdr:row>10</xdr:row>
      <xdr:rowOff>642620</xdr:rowOff>
    </xdr:to>
    <xdr:pic>
      <xdr:nvPicPr>
        <xdr:cNvPr id="10" name="图片 9" descr="洁柔面子洗脸巾60抽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09320" y="669163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147320</xdr:colOff>
      <xdr:row>11</xdr:row>
      <xdr:rowOff>47625</xdr:rowOff>
    </xdr:from>
    <xdr:to>
      <xdr:col>1</xdr:col>
      <xdr:colOff>723265</xdr:colOff>
      <xdr:row>11</xdr:row>
      <xdr:rowOff>623570</xdr:rowOff>
    </xdr:to>
    <xdr:pic>
      <xdr:nvPicPr>
        <xdr:cNvPr id="11" name="图片 10" descr="洁柔面子洗脸巾180抽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09320" y="73583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147320</xdr:colOff>
      <xdr:row>12</xdr:row>
      <xdr:rowOff>57150</xdr:rowOff>
    </xdr:from>
    <xdr:to>
      <xdr:col>1</xdr:col>
      <xdr:colOff>723265</xdr:colOff>
      <xdr:row>12</xdr:row>
      <xdr:rowOff>633095</xdr:rowOff>
    </xdr:to>
    <xdr:pic>
      <xdr:nvPicPr>
        <xdr:cNvPr id="12" name="图片 11" descr="朵蜜卫生裤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09320" y="805370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109220</xdr:colOff>
      <xdr:row>13</xdr:row>
      <xdr:rowOff>47625</xdr:rowOff>
    </xdr:from>
    <xdr:to>
      <xdr:col>1</xdr:col>
      <xdr:colOff>760730</xdr:colOff>
      <xdr:row>13</xdr:row>
      <xdr:rowOff>623570</xdr:rowOff>
    </xdr:to>
    <xdr:pic>
      <xdr:nvPicPr>
        <xdr:cNvPr id="13" name="图片 12" descr="洁柔女士日抛内裤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71220" y="8729980"/>
          <a:ext cx="651510" cy="57594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135255</xdr:colOff>
      <xdr:row>2</xdr:row>
      <xdr:rowOff>47625</xdr:rowOff>
    </xdr:from>
    <xdr:to>
      <xdr:col>1</xdr:col>
      <xdr:colOff>711200</xdr:colOff>
      <xdr:row>2</xdr:row>
      <xdr:rowOff>628650</xdr:rowOff>
    </xdr:to>
    <xdr:pic>
      <xdr:nvPicPr>
        <xdr:cNvPr id="2" name="图片 1" descr="有友麻椒大杂烩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5255" y="1186180"/>
          <a:ext cx="575945" cy="58102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5</xdr:row>
      <xdr:rowOff>38100</xdr:rowOff>
    </xdr:from>
    <xdr:to>
      <xdr:col>1</xdr:col>
      <xdr:colOff>711200</xdr:colOff>
      <xdr:row>5</xdr:row>
      <xdr:rowOff>614045</xdr:rowOff>
    </xdr:to>
    <xdr:pic>
      <xdr:nvPicPr>
        <xdr:cNvPr id="3" name="图片 2" descr="老醋蚕豆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5255" y="32340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8</xdr:row>
      <xdr:rowOff>85725</xdr:rowOff>
    </xdr:from>
    <xdr:to>
      <xdr:col>1</xdr:col>
      <xdr:colOff>711200</xdr:colOff>
      <xdr:row>8</xdr:row>
      <xdr:rowOff>661670</xdr:rowOff>
    </xdr:to>
    <xdr:pic>
      <xdr:nvPicPr>
        <xdr:cNvPr id="4" name="图片 3" descr="蜡笔小新擦手布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255" y="53390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27</xdr:row>
      <xdr:rowOff>28575</xdr:rowOff>
    </xdr:from>
    <xdr:to>
      <xdr:col>1</xdr:col>
      <xdr:colOff>711200</xdr:colOff>
      <xdr:row>27</xdr:row>
      <xdr:rowOff>604520</xdr:rowOff>
    </xdr:to>
    <xdr:pic>
      <xdr:nvPicPr>
        <xdr:cNvPr id="5" name="图片 4" descr="友臣五黑面包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5255" y="1831213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201930</xdr:colOff>
      <xdr:row>29</xdr:row>
      <xdr:rowOff>85725</xdr:rowOff>
    </xdr:from>
    <xdr:to>
      <xdr:col>1</xdr:col>
      <xdr:colOff>644525</xdr:colOff>
      <xdr:row>29</xdr:row>
      <xdr:rowOff>638810</xdr:rowOff>
    </xdr:to>
    <xdr:pic>
      <xdr:nvPicPr>
        <xdr:cNvPr id="6" name="图片 5" descr="有友鸡脚筋 山椒味"/>
        <xdr:cNvPicPr>
          <a:picLocks noChangeAspect="1"/>
        </xdr:cNvPicPr>
      </xdr:nvPicPr>
      <xdr:blipFill>
        <a:blip r:embed="rId5"/>
        <a:srcRect l="21429" t="5125" r="22449" b="17625"/>
        <a:stretch>
          <a:fillRect/>
        </a:stretch>
      </xdr:blipFill>
      <xdr:spPr>
        <a:xfrm>
          <a:off x="201930" y="19740880"/>
          <a:ext cx="442595" cy="55308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28</xdr:row>
      <xdr:rowOff>47625</xdr:rowOff>
    </xdr:from>
    <xdr:to>
      <xdr:col>1</xdr:col>
      <xdr:colOff>711200</xdr:colOff>
      <xdr:row>28</xdr:row>
      <xdr:rowOff>623570</xdr:rowOff>
    </xdr:to>
    <xdr:pic>
      <xdr:nvPicPr>
        <xdr:cNvPr id="7" name="图片 6" descr="有友鸡脚筋 盐焗味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5255" y="190169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30</xdr:row>
      <xdr:rowOff>47625</xdr:rowOff>
    </xdr:from>
    <xdr:to>
      <xdr:col>1</xdr:col>
      <xdr:colOff>711200</xdr:colOff>
      <xdr:row>30</xdr:row>
      <xdr:rowOff>623570</xdr:rowOff>
    </xdr:to>
    <xdr:pic>
      <xdr:nvPicPr>
        <xdr:cNvPr id="8" name="图片 7" descr="有友鸡脚筋 泰式酸辣味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255" y="203885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151765</xdr:colOff>
      <xdr:row>32</xdr:row>
      <xdr:rowOff>128270</xdr:rowOff>
    </xdr:from>
    <xdr:to>
      <xdr:col>1</xdr:col>
      <xdr:colOff>694690</xdr:colOff>
      <xdr:row>32</xdr:row>
      <xdr:rowOff>647700</xdr:rowOff>
    </xdr:to>
    <xdr:pic>
      <xdr:nvPicPr>
        <xdr:cNvPr id="9" name="图片 8" descr="星球杯桶装50杯"/>
        <xdr:cNvPicPr>
          <a:picLocks noChangeAspect="1"/>
        </xdr:cNvPicPr>
      </xdr:nvPicPr>
      <xdr:blipFill>
        <a:blip r:embed="rId8"/>
        <a:srcRect b="27233"/>
        <a:stretch>
          <a:fillRect/>
        </a:stretch>
      </xdr:blipFill>
      <xdr:spPr>
        <a:xfrm>
          <a:off x="151765" y="21840825"/>
          <a:ext cx="542925" cy="519430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33</xdr:row>
      <xdr:rowOff>47625</xdr:rowOff>
    </xdr:from>
    <xdr:to>
      <xdr:col>1</xdr:col>
      <xdr:colOff>711200</xdr:colOff>
      <xdr:row>33</xdr:row>
      <xdr:rowOff>623570</xdr:rowOff>
    </xdr:to>
    <xdr:pic>
      <xdr:nvPicPr>
        <xdr:cNvPr id="10" name="图片 9" descr="老醋蚕豆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5255" y="224459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128270</xdr:colOff>
      <xdr:row>34</xdr:row>
      <xdr:rowOff>66675</xdr:rowOff>
    </xdr:from>
    <xdr:to>
      <xdr:col>1</xdr:col>
      <xdr:colOff>718185</xdr:colOff>
      <xdr:row>34</xdr:row>
      <xdr:rowOff>642620</xdr:rowOff>
    </xdr:to>
    <xdr:pic>
      <xdr:nvPicPr>
        <xdr:cNvPr id="11" name="图片 10" descr="霸王丝爆辣辣条"/>
        <xdr:cNvPicPr>
          <a:picLocks noChangeAspect="1"/>
        </xdr:cNvPicPr>
      </xdr:nvPicPr>
      <xdr:blipFill>
        <a:blip r:embed="rId9"/>
        <a:srcRect b="25738"/>
        <a:stretch>
          <a:fillRect/>
        </a:stretch>
      </xdr:blipFill>
      <xdr:spPr>
        <a:xfrm>
          <a:off x="128270" y="23150830"/>
          <a:ext cx="58991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137795</xdr:colOff>
      <xdr:row>35</xdr:row>
      <xdr:rowOff>123825</xdr:rowOff>
    </xdr:from>
    <xdr:to>
      <xdr:col>1</xdr:col>
      <xdr:colOff>708025</xdr:colOff>
      <xdr:row>35</xdr:row>
      <xdr:rowOff>657225</xdr:rowOff>
    </xdr:to>
    <xdr:pic>
      <xdr:nvPicPr>
        <xdr:cNvPr id="12" name="图片 11" descr="茶颜悦色面包丁"/>
        <xdr:cNvPicPr>
          <a:picLocks noChangeAspect="1"/>
        </xdr:cNvPicPr>
      </xdr:nvPicPr>
      <xdr:blipFill>
        <a:blip r:embed="rId10"/>
        <a:srcRect b="28886"/>
        <a:stretch>
          <a:fillRect/>
        </a:stretch>
      </xdr:blipFill>
      <xdr:spPr>
        <a:xfrm>
          <a:off x="137795" y="23893780"/>
          <a:ext cx="57023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36</xdr:row>
      <xdr:rowOff>47625</xdr:rowOff>
    </xdr:from>
    <xdr:to>
      <xdr:col>1</xdr:col>
      <xdr:colOff>711200</xdr:colOff>
      <xdr:row>36</xdr:row>
      <xdr:rowOff>623570</xdr:rowOff>
    </xdr:to>
    <xdr:pic>
      <xdr:nvPicPr>
        <xdr:cNvPr id="13" name="图片 12" descr="和成天下5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35255" y="24503380"/>
          <a:ext cx="575945" cy="575945"/>
        </a:xfrm>
        <a:prstGeom prst="rect">
          <a:avLst/>
        </a:prstGeom>
      </xdr:spPr>
    </xdr:pic>
    <xdr:clientData/>
  </xdr:twoCellAnchor>
  <xdr:twoCellAnchor>
    <xdr:from>
      <xdr:col>1</xdr:col>
      <xdr:colOff>194945</xdr:colOff>
      <xdr:row>37</xdr:row>
      <xdr:rowOff>38100</xdr:rowOff>
    </xdr:from>
    <xdr:to>
      <xdr:col>1</xdr:col>
      <xdr:colOff>650875</xdr:colOff>
      <xdr:row>38</xdr:row>
      <xdr:rowOff>4445</xdr:rowOff>
    </xdr:to>
    <xdr:pic>
      <xdr:nvPicPr>
        <xdr:cNvPr id="14" name="图片 13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6441" t="206" r="11946" b="12261"/>
        <a:stretch>
          <a:fillRect/>
        </a:stretch>
      </xdr:blipFill>
      <xdr:spPr>
        <a:xfrm>
          <a:off x="194945" y="25179655"/>
          <a:ext cx="455930" cy="6521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38</xdr:row>
      <xdr:rowOff>123825</xdr:rowOff>
    </xdr:from>
    <xdr:to>
      <xdr:col>1</xdr:col>
      <xdr:colOff>711200</xdr:colOff>
      <xdr:row>39</xdr:row>
      <xdr:rowOff>13970</xdr:rowOff>
    </xdr:to>
    <xdr:pic>
      <xdr:nvPicPr>
        <xdr:cNvPr id="15" name="图片 14" descr="双汇Q趣火腿肠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5255" y="259511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39</xdr:row>
      <xdr:rowOff>76200</xdr:rowOff>
    </xdr:from>
    <xdr:to>
      <xdr:col>1</xdr:col>
      <xdr:colOff>711200</xdr:colOff>
      <xdr:row>39</xdr:row>
      <xdr:rowOff>652145</xdr:rowOff>
    </xdr:to>
    <xdr:pic>
      <xdr:nvPicPr>
        <xdr:cNvPr id="16" name="图片 15" descr="双汇Q趣火腿肠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5255" y="265893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40</xdr:row>
      <xdr:rowOff>76200</xdr:rowOff>
    </xdr:from>
    <xdr:to>
      <xdr:col>1</xdr:col>
      <xdr:colOff>711200</xdr:colOff>
      <xdr:row>40</xdr:row>
      <xdr:rowOff>652145</xdr:rowOff>
    </xdr:to>
    <xdr:pic>
      <xdr:nvPicPr>
        <xdr:cNvPr id="17" name="图片 16" descr="双汇Q趣火腿肠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5255" y="272751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41</xdr:row>
      <xdr:rowOff>76200</xdr:rowOff>
    </xdr:from>
    <xdr:to>
      <xdr:col>1</xdr:col>
      <xdr:colOff>711200</xdr:colOff>
      <xdr:row>41</xdr:row>
      <xdr:rowOff>652145</xdr:rowOff>
    </xdr:to>
    <xdr:pic>
      <xdr:nvPicPr>
        <xdr:cNvPr id="18" name="图片 17" descr="双汇Q趣火腿肠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5255" y="279609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69850</xdr:colOff>
      <xdr:row>3</xdr:row>
      <xdr:rowOff>57150</xdr:rowOff>
    </xdr:from>
    <xdr:to>
      <xdr:col>1</xdr:col>
      <xdr:colOff>776605</xdr:colOff>
      <xdr:row>3</xdr:row>
      <xdr:rowOff>633095</xdr:rowOff>
    </xdr:to>
    <xdr:pic>
      <xdr:nvPicPr>
        <xdr:cNvPr id="19" name="图片 18" descr="阿华田蛋糕卷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9850" y="1881505"/>
          <a:ext cx="70675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4</xdr:row>
      <xdr:rowOff>64770</xdr:rowOff>
    </xdr:from>
    <xdr:to>
      <xdr:col>1</xdr:col>
      <xdr:colOff>711200</xdr:colOff>
      <xdr:row>4</xdr:row>
      <xdr:rowOff>640715</xdr:rowOff>
    </xdr:to>
    <xdr:pic>
      <xdr:nvPicPr>
        <xdr:cNvPr id="20" name="图片 19" descr="蒸汽眼罩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35255" y="257492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6</xdr:row>
      <xdr:rowOff>53340</xdr:rowOff>
    </xdr:from>
    <xdr:to>
      <xdr:col>1</xdr:col>
      <xdr:colOff>711200</xdr:colOff>
      <xdr:row>6</xdr:row>
      <xdr:rowOff>629285</xdr:rowOff>
    </xdr:to>
    <xdr:pic>
      <xdr:nvPicPr>
        <xdr:cNvPr id="21" name="图片 20" descr="手掌软胶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35255" y="393509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7</xdr:row>
      <xdr:rowOff>60960</xdr:rowOff>
    </xdr:from>
    <xdr:to>
      <xdr:col>1</xdr:col>
      <xdr:colOff>711200</xdr:colOff>
      <xdr:row>7</xdr:row>
      <xdr:rowOff>636905</xdr:rowOff>
    </xdr:to>
    <xdr:pic>
      <xdr:nvPicPr>
        <xdr:cNvPr id="22" name="图片 21" descr="万兴隆无花果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35255" y="462851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9</xdr:row>
      <xdr:rowOff>49530</xdr:rowOff>
    </xdr:from>
    <xdr:to>
      <xdr:col>1</xdr:col>
      <xdr:colOff>711200</xdr:colOff>
      <xdr:row>9</xdr:row>
      <xdr:rowOff>625475</xdr:rowOff>
    </xdr:to>
    <xdr:pic>
      <xdr:nvPicPr>
        <xdr:cNvPr id="23" name="图片 22" descr="桌游女巫毒药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35255" y="598868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10</xdr:row>
      <xdr:rowOff>57150</xdr:rowOff>
    </xdr:from>
    <xdr:to>
      <xdr:col>1</xdr:col>
      <xdr:colOff>711200</xdr:colOff>
      <xdr:row>10</xdr:row>
      <xdr:rowOff>633095</xdr:rowOff>
    </xdr:to>
    <xdr:pic>
      <xdr:nvPicPr>
        <xdr:cNvPr id="24" name="图片 23" descr="桌游德国心脏病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5255" y="668210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11</xdr:row>
      <xdr:rowOff>64770</xdr:rowOff>
    </xdr:from>
    <xdr:to>
      <xdr:col>1</xdr:col>
      <xdr:colOff>711200</xdr:colOff>
      <xdr:row>11</xdr:row>
      <xdr:rowOff>640715</xdr:rowOff>
    </xdr:to>
    <xdr:pic>
      <xdr:nvPicPr>
        <xdr:cNvPr id="25" name="图片 24" descr="桌游合集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35255" y="737552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12</xdr:row>
      <xdr:rowOff>62865</xdr:rowOff>
    </xdr:from>
    <xdr:to>
      <xdr:col>1</xdr:col>
      <xdr:colOff>711200</xdr:colOff>
      <xdr:row>12</xdr:row>
      <xdr:rowOff>638810</xdr:rowOff>
    </xdr:to>
    <xdr:pic>
      <xdr:nvPicPr>
        <xdr:cNvPr id="26" name="图片 25" descr="可拆卸兔子尾巴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35255" y="805942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13</xdr:row>
      <xdr:rowOff>70485</xdr:rowOff>
    </xdr:from>
    <xdr:to>
      <xdr:col>1</xdr:col>
      <xdr:colOff>711200</xdr:colOff>
      <xdr:row>13</xdr:row>
      <xdr:rowOff>646430</xdr:rowOff>
    </xdr:to>
    <xdr:pic>
      <xdr:nvPicPr>
        <xdr:cNvPr id="27" name="图片 26" descr="桌游 talking heart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35255" y="875284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14</xdr:row>
      <xdr:rowOff>59055</xdr:rowOff>
    </xdr:from>
    <xdr:to>
      <xdr:col>1</xdr:col>
      <xdr:colOff>711200</xdr:colOff>
      <xdr:row>14</xdr:row>
      <xdr:rowOff>635000</xdr:rowOff>
    </xdr:to>
    <xdr:pic>
      <xdr:nvPicPr>
        <xdr:cNvPr id="28" name="图片 27" descr="可伸缩收纳盒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35255" y="942721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15</xdr:row>
      <xdr:rowOff>66675</xdr:rowOff>
    </xdr:from>
    <xdr:to>
      <xdr:col>1</xdr:col>
      <xdr:colOff>711200</xdr:colOff>
      <xdr:row>15</xdr:row>
      <xdr:rowOff>642620</xdr:rowOff>
    </xdr:to>
    <xdr:pic>
      <xdr:nvPicPr>
        <xdr:cNvPr id="29" name="图片 28" descr="宠物喂食器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35255" y="1012063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16</xdr:row>
      <xdr:rowOff>64770</xdr:rowOff>
    </xdr:from>
    <xdr:to>
      <xdr:col>1</xdr:col>
      <xdr:colOff>711200</xdr:colOff>
      <xdr:row>16</xdr:row>
      <xdr:rowOff>640715</xdr:rowOff>
    </xdr:to>
    <xdr:pic>
      <xdr:nvPicPr>
        <xdr:cNvPr id="30" name="图片 29" descr="口袋跳跳糖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35255" y="1080452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17</xdr:row>
      <xdr:rowOff>43815</xdr:rowOff>
    </xdr:from>
    <xdr:to>
      <xdr:col>1</xdr:col>
      <xdr:colOff>711200</xdr:colOff>
      <xdr:row>17</xdr:row>
      <xdr:rowOff>619760</xdr:rowOff>
    </xdr:to>
    <xdr:pic>
      <xdr:nvPicPr>
        <xdr:cNvPr id="31" name="图片 30" descr="硅胶充气娃娃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35255" y="1146937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18</xdr:row>
      <xdr:rowOff>51435</xdr:rowOff>
    </xdr:from>
    <xdr:to>
      <xdr:col>1</xdr:col>
      <xdr:colOff>711200</xdr:colOff>
      <xdr:row>18</xdr:row>
      <xdr:rowOff>627380</xdr:rowOff>
    </xdr:to>
    <xdr:pic>
      <xdr:nvPicPr>
        <xdr:cNvPr id="32" name="图片 31" descr="迷你圣诞帽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35255" y="1216279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19</xdr:row>
      <xdr:rowOff>49530</xdr:rowOff>
    </xdr:from>
    <xdr:to>
      <xdr:col>1</xdr:col>
      <xdr:colOff>711200</xdr:colOff>
      <xdr:row>19</xdr:row>
      <xdr:rowOff>625475</xdr:rowOff>
    </xdr:to>
    <xdr:pic>
      <xdr:nvPicPr>
        <xdr:cNvPr id="33" name="图片 32" descr="充电震动棒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35255" y="1284668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20</xdr:row>
      <xdr:rowOff>66675</xdr:rowOff>
    </xdr:from>
    <xdr:to>
      <xdr:col>1</xdr:col>
      <xdr:colOff>711200</xdr:colOff>
      <xdr:row>20</xdr:row>
      <xdr:rowOff>642620</xdr:rowOff>
    </xdr:to>
    <xdr:pic>
      <xdr:nvPicPr>
        <xdr:cNvPr id="34" name="图片 33" descr="杰士邦震动棒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35255" y="1354963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21</xdr:row>
      <xdr:rowOff>36195</xdr:rowOff>
    </xdr:from>
    <xdr:to>
      <xdr:col>1</xdr:col>
      <xdr:colOff>711200</xdr:colOff>
      <xdr:row>21</xdr:row>
      <xdr:rowOff>612140</xdr:rowOff>
    </xdr:to>
    <xdr:pic>
      <xdr:nvPicPr>
        <xdr:cNvPr id="35" name="图片 34" descr="取悦扣指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35255" y="1420495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22</xdr:row>
      <xdr:rowOff>34290</xdr:rowOff>
    </xdr:from>
    <xdr:to>
      <xdr:col>1</xdr:col>
      <xdr:colOff>711200</xdr:colOff>
      <xdr:row>22</xdr:row>
      <xdr:rowOff>610235</xdr:rowOff>
    </xdr:to>
    <xdr:pic>
      <xdr:nvPicPr>
        <xdr:cNvPr id="36" name="图片 35" descr="双跳蛋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35255" y="1488884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23</xdr:row>
      <xdr:rowOff>51435</xdr:rowOff>
    </xdr:from>
    <xdr:to>
      <xdr:col>1</xdr:col>
      <xdr:colOff>711200</xdr:colOff>
      <xdr:row>23</xdr:row>
      <xdr:rowOff>627380</xdr:rowOff>
    </xdr:to>
    <xdr:pic>
      <xdr:nvPicPr>
        <xdr:cNvPr id="37" name="图片 36" descr="麦当劳同款铃铛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35255" y="1559179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24</xdr:row>
      <xdr:rowOff>68580</xdr:rowOff>
    </xdr:from>
    <xdr:to>
      <xdr:col>1</xdr:col>
      <xdr:colOff>711200</xdr:colOff>
      <xdr:row>24</xdr:row>
      <xdr:rowOff>644525</xdr:rowOff>
    </xdr:to>
    <xdr:pic>
      <xdr:nvPicPr>
        <xdr:cNvPr id="38" name="图片 37" descr="冰箱侧面壁挂架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35255" y="1629473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135255</xdr:colOff>
      <xdr:row>31</xdr:row>
      <xdr:rowOff>76200</xdr:rowOff>
    </xdr:from>
    <xdr:to>
      <xdr:col>1</xdr:col>
      <xdr:colOff>711200</xdr:colOff>
      <xdr:row>31</xdr:row>
      <xdr:rowOff>652145</xdr:rowOff>
    </xdr:to>
    <xdr:pic>
      <xdr:nvPicPr>
        <xdr:cNvPr id="39" name="图片 38" descr="女巫转盘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35255" y="211029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25</xdr:row>
      <xdr:rowOff>76200</xdr:rowOff>
    </xdr:from>
    <xdr:to>
      <xdr:col>1</xdr:col>
      <xdr:colOff>680720</xdr:colOff>
      <xdr:row>25</xdr:row>
      <xdr:rowOff>652145</xdr:rowOff>
    </xdr:to>
    <xdr:pic>
      <xdr:nvPicPr>
        <xdr:cNvPr id="40" name="图片 39" descr="透明推进器2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04775" y="169881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130810</xdr:colOff>
      <xdr:row>26</xdr:row>
      <xdr:rowOff>64135</xdr:rowOff>
    </xdr:from>
    <xdr:to>
      <xdr:col>1</xdr:col>
      <xdr:colOff>706755</xdr:colOff>
      <xdr:row>26</xdr:row>
      <xdr:rowOff>640080</xdr:rowOff>
    </xdr:to>
    <xdr:pic>
      <xdr:nvPicPr>
        <xdr:cNvPr id="41" name="图片 40" descr="透明推进器30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30810" y="17661890"/>
          <a:ext cx="575945" cy="5759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288925</xdr:colOff>
      <xdr:row>2</xdr:row>
      <xdr:rowOff>66675</xdr:rowOff>
    </xdr:from>
    <xdr:to>
      <xdr:col>0</xdr:col>
      <xdr:colOff>610235</xdr:colOff>
      <xdr:row>2</xdr:row>
      <xdr:rowOff>642620</xdr:rowOff>
    </xdr:to>
    <xdr:pic>
      <xdr:nvPicPr>
        <xdr:cNvPr id="2" name="图片 1" descr="楼记扑克牌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88925" y="1205230"/>
          <a:ext cx="321310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163830</xdr:colOff>
      <xdr:row>3</xdr:row>
      <xdr:rowOff>54610</xdr:rowOff>
    </xdr:from>
    <xdr:to>
      <xdr:col>0</xdr:col>
      <xdr:colOff>734695</xdr:colOff>
      <xdr:row>3</xdr:row>
      <xdr:rowOff>630555</xdr:rowOff>
    </xdr:to>
    <xdr:pic>
      <xdr:nvPicPr>
        <xdr:cNvPr id="3" name="图片 2" descr="张小泉多功能厨房剪刀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63830" y="1878965"/>
          <a:ext cx="57086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4</xdr:row>
      <xdr:rowOff>38100</xdr:rowOff>
    </xdr:from>
    <xdr:to>
      <xdr:col>0</xdr:col>
      <xdr:colOff>737235</xdr:colOff>
      <xdr:row>4</xdr:row>
      <xdr:rowOff>614045</xdr:rowOff>
    </xdr:to>
    <xdr:pic>
      <xdr:nvPicPr>
        <xdr:cNvPr id="4" name="图片 3" descr="王小卤虎皮凤爪（卤香）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61290" y="25482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5</xdr:row>
      <xdr:rowOff>6985</xdr:rowOff>
    </xdr:from>
    <xdr:to>
      <xdr:col>0</xdr:col>
      <xdr:colOff>737235</xdr:colOff>
      <xdr:row>5</xdr:row>
      <xdr:rowOff>582930</xdr:rowOff>
    </xdr:to>
    <xdr:pic>
      <xdr:nvPicPr>
        <xdr:cNvPr id="5" name="图片 4" descr="王小卤虎皮凤爪（香辣）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1290" y="320294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6</xdr:row>
      <xdr:rowOff>61595</xdr:rowOff>
    </xdr:from>
    <xdr:to>
      <xdr:col>0</xdr:col>
      <xdr:colOff>737235</xdr:colOff>
      <xdr:row>6</xdr:row>
      <xdr:rowOff>637540</xdr:rowOff>
    </xdr:to>
    <xdr:pic>
      <xdr:nvPicPr>
        <xdr:cNvPr id="6" name="图片 5" descr="王小卤武汉黑鸭味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61290" y="394335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7</xdr:row>
      <xdr:rowOff>66675</xdr:rowOff>
    </xdr:from>
    <xdr:to>
      <xdr:col>0</xdr:col>
      <xdr:colOff>701675</xdr:colOff>
      <xdr:row>7</xdr:row>
      <xdr:rowOff>642620</xdr:rowOff>
    </xdr:to>
    <xdr:pic>
      <xdr:nvPicPr>
        <xdr:cNvPr id="7" name="图片 6" descr="田园猎手爆汁香肠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96850" y="4634230"/>
          <a:ext cx="50482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179070</xdr:colOff>
      <xdr:row>13</xdr:row>
      <xdr:rowOff>43180</xdr:rowOff>
    </xdr:from>
    <xdr:to>
      <xdr:col>0</xdr:col>
      <xdr:colOff>719455</xdr:colOff>
      <xdr:row>13</xdr:row>
      <xdr:rowOff>619125</xdr:rowOff>
    </xdr:to>
    <xdr:pic>
      <xdr:nvPicPr>
        <xdr:cNvPr id="8" name="图片 7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" y="8725535"/>
          <a:ext cx="54038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193040</xdr:colOff>
      <xdr:row>12</xdr:row>
      <xdr:rowOff>94615</xdr:rowOff>
    </xdr:from>
    <xdr:to>
      <xdr:col>0</xdr:col>
      <xdr:colOff>705485</xdr:colOff>
      <xdr:row>12</xdr:row>
      <xdr:rowOff>670560</xdr:rowOff>
    </xdr:to>
    <xdr:pic>
      <xdr:nvPicPr>
        <xdr:cNvPr id="9" name="图片 8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040" y="8091170"/>
          <a:ext cx="5124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154305</xdr:colOff>
      <xdr:row>8</xdr:row>
      <xdr:rowOff>38100</xdr:rowOff>
    </xdr:from>
    <xdr:to>
      <xdr:col>0</xdr:col>
      <xdr:colOff>744220</xdr:colOff>
      <xdr:row>8</xdr:row>
      <xdr:rowOff>614045</xdr:rowOff>
    </xdr:to>
    <xdr:pic>
      <xdr:nvPicPr>
        <xdr:cNvPr id="10" name="图片 9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305" y="5291455"/>
          <a:ext cx="58991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163830</xdr:colOff>
      <xdr:row>9</xdr:row>
      <xdr:rowOff>50800</xdr:rowOff>
    </xdr:from>
    <xdr:to>
      <xdr:col>0</xdr:col>
      <xdr:colOff>735330</xdr:colOff>
      <xdr:row>9</xdr:row>
      <xdr:rowOff>626745</xdr:rowOff>
    </xdr:to>
    <xdr:pic>
      <xdr:nvPicPr>
        <xdr:cNvPr id="11" name="图片 10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30" y="5989955"/>
          <a:ext cx="571500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208915</xdr:colOff>
      <xdr:row>10</xdr:row>
      <xdr:rowOff>71755</xdr:rowOff>
    </xdr:from>
    <xdr:to>
      <xdr:col>0</xdr:col>
      <xdr:colOff>690245</xdr:colOff>
      <xdr:row>10</xdr:row>
      <xdr:rowOff>647700</xdr:rowOff>
    </xdr:to>
    <xdr:pic>
      <xdr:nvPicPr>
        <xdr:cNvPr id="12" name="图片 11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" y="6696710"/>
          <a:ext cx="481330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220345</xdr:colOff>
      <xdr:row>11</xdr:row>
      <xdr:rowOff>62230</xdr:rowOff>
    </xdr:from>
    <xdr:to>
      <xdr:col>0</xdr:col>
      <xdr:colOff>678815</xdr:colOff>
      <xdr:row>11</xdr:row>
      <xdr:rowOff>638175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345" y="7372985"/>
          <a:ext cx="458470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128270</xdr:colOff>
      <xdr:row>14</xdr:row>
      <xdr:rowOff>66675</xdr:rowOff>
    </xdr:from>
    <xdr:to>
      <xdr:col>0</xdr:col>
      <xdr:colOff>770890</xdr:colOff>
      <xdr:row>14</xdr:row>
      <xdr:rowOff>642620</xdr:rowOff>
    </xdr:to>
    <xdr:pic>
      <xdr:nvPicPr>
        <xdr:cNvPr id="15" name="图片 14" descr="回味赞鸭血粉丝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8270" y="9434830"/>
          <a:ext cx="642620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233680</xdr:colOff>
      <xdr:row>15</xdr:row>
      <xdr:rowOff>57150</xdr:rowOff>
    </xdr:from>
    <xdr:to>
      <xdr:col>0</xdr:col>
      <xdr:colOff>665480</xdr:colOff>
      <xdr:row>15</xdr:row>
      <xdr:rowOff>633095</xdr:rowOff>
    </xdr:to>
    <xdr:pic>
      <xdr:nvPicPr>
        <xdr:cNvPr id="17" name="图片 16" descr="台式烤香肠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33680" y="10111105"/>
          <a:ext cx="431800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154305</xdr:colOff>
      <xdr:row>16</xdr:row>
      <xdr:rowOff>57150</xdr:rowOff>
    </xdr:from>
    <xdr:to>
      <xdr:col>0</xdr:col>
      <xdr:colOff>744855</xdr:colOff>
      <xdr:row>16</xdr:row>
      <xdr:rowOff>647700</xdr:rowOff>
    </xdr:to>
    <xdr:pic>
      <xdr:nvPicPr>
        <xdr:cNvPr id="18" name="图片 17" descr="双汇Q趣火腿肠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54305" y="10796905"/>
          <a:ext cx="590550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154305</xdr:colOff>
      <xdr:row>17</xdr:row>
      <xdr:rowOff>47625</xdr:rowOff>
    </xdr:from>
    <xdr:to>
      <xdr:col>0</xdr:col>
      <xdr:colOff>744855</xdr:colOff>
      <xdr:row>17</xdr:row>
      <xdr:rowOff>638175</xdr:rowOff>
    </xdr:to>
    <xdr:pic>
      <xdr:nvPicPr>
        <xdr:cNvPr id="19" name="图片 18" descr="双汇Q趣火腿肠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54305" y="11473180"/>
          <a:ext cx="590550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154305</xdr:colOff>
      <xdr:row>18</xdr:row>
      <xdr:rowOff>47625</xdr:rowOff>
    </xdr:from>
    <xdr:to>
      <xdr:col>0</xdr:col>
      <xdr:colOff>744855</xdr:colOff>
      <xdr:row>18</xdr:row>
      <xdr:rowOff>638175</xdr:rowOff>
    </xdr:to>
    <xdr:pic>
      <xdr:nvPicPr>
        <xdr:cNvPr id="20" name="图片 19" descr="双汇Q趣火腿肠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54305" y="12158980"/>
          <a:ext cx="590550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154305</xdr:colOff>
      <xdr:row>19</xdr:row>
      <xdr:rowOff>47625</xdr:rowOff>
    </xdr:from>
    <xdr:to>
      <xdr:col>0</xdr:col>
      <xdr:colOff>744855</xdr:colOff>
      <xdr:row>19</xdr:row>
      <xdr:rowOff>638175</xdr:rowOff>
    </xdr:to>
    <xdr:pic>
      <xdr:nvPicPr>
        <xdr:cNvPr id="21" name="图片 20" descr="双汇Q趣火腿肠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54305" y="12844780"/>
          <a:ext cx="590550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20</xdr:row>
      <xdr:rowOff>47625</xdr:rowOff>
    </xdr:from>
    <xdr:to>
      <xdr:col>0</xdr:col>
      <xdr:colOff>737235</xdr:colOff>
      <xdr:row>20</xdr:row>
      <xdr:rowOff>623570</xdr:rowOff>
    </xdr:to>
    <xdr:pic>
      <xdr:nvPicPr>
        <xdr:cNvPr id="22" name="图片 21" descr="奈丝公主安睡裤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61290" y="1353058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21</xdr:row>
      <xdr:rowOff>38100</xdr:rowOff>
    </xdr:from>
    <xdr:to>
      <xdr:col>0</xdr:col>
      <xdr:colOff>737235</xdr:colOff>
      <xdr:row>21</xdr:row>
      <xdr:rowOff>614045</xdr:rowOff>
    </xdr:to>
    <xdr:pic>
      <xdr:nvPicPr>
        <xdr:cNvPr id="23" name="图片 22" descr="奈丝公主安睡裤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61290" y="142068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66040</xdr:colOff>
      <xdr:row>22</xdr:row>
      <xdr:rowOff>57150</xdr:rowOff>
    </xdr:from>
    <xdr:to>
      <xdr:col>0</xdr:col>
      <xdr:colOff>832485</xdr:colOff>
      <xdr:row>22</xdr:row>
      <xdr:rowOff>633095</xdr:rowOff>
    </xdr:to>
    <xdr:pic>
      <xdr:nvPicPr>
        <xdr:cNvPr id="24" name="图片 23" descr="全棉时代全棉柔巾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6040" y="14911705"/>
          <a:ext cx="7664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41275</xdr:colOff>
      <xdr:row>23</xdr:row>
      <xdr:rowOff>28575</xdr:rowOff>
    </xdr:from>
    <xdr:to>
      <xdr:col>0</xdr:col>
      <xdr:colOff>857885</xdr:colOff>
      <xdr:row>23</xdr:row>
      <xdr:rowOff>604520</xdr:rowOff>
    </xdr:to>
    <xdr:pic>
      <xdr:nvPicPr>
        <xdr:cNvPr id="25" name="图片 24" descr="全棉时代一次性内裤新包装5条装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41275" y="15568930"/>
          <a:ext cx="816610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41275</xdr:colOff>
      <xdr:row>24</xdr:row>
      <xdr:rowOff>47625</xdr:rowOff>
    </xdr:from>
    <xdr:to>
      <xdr:col>0</xdr:col>
      <xdr:colOff>857885</xdr:colOff>
      <xdr:row>24</xdr:row>
      <xdr:rowOff>623570</xdr:rowOff>
    </xdr:to>
    <xdr:pic>
      <xdr:nvPicPr>
        <xdr:cNvPr id="26" name="图片 25" descr="全棉时代一次性内裤新包装5条装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41275" y="16273780"/>
          <a:ext cx="816610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52070</xdr:colOff>
      <xdr:row>25</xdr:row>
      <xdr:rowOff>38100</xdr:rowOff>
    </xdr:from>
    <xdr:to>
      <xdr:col>0</xdr:col>
      <xdr:colOff>846455</xdr:colOff>
      <xdr:row>25</xdr:row>
      <xdr:rowOff>614045</xdr:rowOff>
    </xdr:to>
    <xdr:pic>
      <xdr:nvPicPr>
        <xdr:cNvPr id="27" name="图片 26" descr="全棉时代超柔超厚洗脸巾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2070" y="16950055"/>
          <a:ext cx="79438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26</xdr:row>
      <xdr:rowOff>66675</xdr:rowOff>
    </xdr:from>
    <xdr:to>
      <xdr:col>0</xdr:col>
      <xdr:colOff>737235</xdr:colOff>
      <xdr:row>26</xdr:row>
      <xdr:rowOff>642620</xdr:rowOff>
    </xdr:to>
    <xdr:pic>
      <xdr:nvPicPr>
        <xdr:cNvPr id="28" name="图片 27" descr="拉面说金汤肥牛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1290" y="1766443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28</xdr:row>
      <xdr:rowOff>66675</xdr:rowOff>
    </xdr:from>
    <xdr:to>
      <xdr:col>0</xdr:col>
      <xdr:colOff>737235</xdr:colOff>
      <xdr:row>28</xdr:row>
      <xdr:rowOff>642620</xdr:rowOff>
    </xdr:to>
    <xdr:pic>
      <xdr:nvPicPr>
        <xdr:cNvPr id="29" name="图片 28" descr="王小卤虎皮凤爪（青花椒味）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61290" y="1903603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27</xdr:row>
      <xdr:rowOff>83185</xdr:rowOff>
    </xdr:from>
    <xdr:to>
      <xdr:col>0</xdr:col>
      <xdr:colOff>737235</xdr:colOff>
      <xdr:row>27</xdr:row>
      <xdr:rowOff>659130</xdr:rowOff>
    </xdr:to>
    <xdr:pic>
      <xdr:nvPicPr>
        <xdr:cNvPr id="30" name="图片 29" descr="王小卤虎皮凤爪（火锅味）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1290" y="1836674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29</xdr:row>
      <xdr:rowOff>66675</xdr:rowOff>
    </xdr:from>
    <xdr:to>
      <xdr:col>0</xdr:col>
      <xdr:colOff>737235</xdr:colOff>
      <xdr:row>29</xdr:row>
      <xdr:rowOff>642620</xdr:rowOff>
    </xdr:to>
    <xdr:pic>
      <xdr:nvPicPr>
        <xdr:cNvPr id="31" name="图片 30" descr="有友泡椒凤爪80g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61290" y="1972183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30</xdr:row>
      <xdr:rowOff>76200</xdr:rowOff>
    </xdr:from>
    <xdr:to>
      <xdr:col>0</xdr:col>
      <xdr:colOff>737235</xdr:colOff>
      <xdr:row>30</xdr:row>
      <xdr:rowOff>652145</xdr:rowOff>
    </xdr:to>
    <xdr:pic>
      <xdr:nvPicPr>
        <xdr:cNvPr id="32" name="图片 31" descr="有友泡椒猪皮晶60g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1290" y="204171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287655</xdr:colOff>
      <xdr:row>31</xdr:row>
      <xdr:rowOff>76200</xdr:rowOff>
    </xdr:from>
    <xdr:to>
      <xdr:col>0</xdr:col>
      <xdr:colOff>611505</xdr:colOff>
      <xdr:row>31</xdr:row>
      <xdr:rowOff>652145</xdr:rowOff>
    </xdr:to>
    <xdr:pic>
      <xdr:nvPicPr>
        <xdr:cNvPr id="33" name="图片 32" descr="老李五香翅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87655" y="21102955"/>
          <a:ext cx="323850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33</xdr:row>
      <xdr:rowOff>57150</xdr:rowOff>
    </xdr:from>
    <xdr:to>
      <xdr:col>0</xdr:col>
      <xdr:colOff>737235</xdr:colOff>
      <xdr:row>33</xdr:row>
      <xdr:rowOff>633095</xdr:rowOff>
    </xdr:to>
    <xdr:pic>
      <xdr:nvPicPr>
        <xdr:cNvPr id="34" name="图片 33" descr="桌布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61290" y="2245550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0</xdr:col>
      <xdr:colOff>161290</xdr:colOff>
      <xdr:row>32</xdr:row>
      <xdr:rowOff>54610</xdr:rowOff>
    </xdr:from>
    <xdr:to>
      <xdr:col>0</xdr:col>
      <xdr:colOff>737235</xdr:colOff>
      <xdr:row>32</xdr:row>
      <xdr:rowOff>630555</xdr:rowOff>
    </xdr:to>
    <xdr:pic>
      <xdr:nvPicPr>
        <xdr:cNvPr id="35" name="图片 34" descr="浴帘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61290" y="21767165"/>
          <a:ext cx="575945" cy="57594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61595</xdr:colOff>
      <xdr:row>25</xdr:row>
      <xdr:rowOff>52070</xdr:rowOff>
    </xdr:from>
    <xdr:to>
      <xdr:col>1</xdr:col>
      <xdr:colOff>739775</xdr:colOff>
      <xdr:row>25</xdr:row>
      <xdr:rowOff>633730</xdr:rowOff>
    </xdr:to>
    <xdr:pic>
      <xdr:nvPicPr>
        <xdr:cNvPr id="2" name="图片 1" descr="贝因美一次性内裤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0720" y="16964025"/>
          <a:ext cx="678180" cy="581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24</xdr:row>
      <xdr:rowOff>53975</xdr:rowOff>
    </xdr:from>
    <xdr:to>
      <xdr:col>1</xdr:col>
      <xdr:colOff>688340</xdr:colOff>
      <xdr:row>24</xdr:row>
      <xdr:rowOff>626745</xdr:rowOff>
    </xdr:to>
    <xdr:pic>
      <xdr:nvPicPr>
        <xdr:cNvPr id="3" name="图片 2" descr="主动点伸缩棒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31520" y="16280130"/>
          <a:ext cx="575945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256540</xdr:colOff>
      <xdr:row>37</xdr:row>
      <xdr:rowOff>57150</xdr:rowOff>
    </xdr:from>
    <xdr:to>
      <xdr:col>1</xdr:col>
      <xdr:colOff>544830</xdr:colOff>
      <xdr:row>37</xdr:row>
      <xdr:rowOff>629920</xdr:rowOff>
    </xdr:to>
    <xdr:pic>
      <xdr:nvPicPr>
        <xdr:cNvPr id="4" name="图片 3" descr="感康复方氨酚烷胺胶囊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75665" y="25198705"/>
          <a:ext cx="288290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20</xdr:row>
      <xdr:rowOff>66675</xdr:rowOff>
    </xdr:from>
    <xdr:to>
      <xdr:col>1</xdr:col>
      <xdr:colOff>688975</xdr:colOff>
      <xdr:row>20</xdr:row>
      <xdr:rowOff>639445</xdr:rowOff>
    </xdr:to>
    <xdr:pic>
      <xdr:nvPicPr>
        <xdr:cNvPr id="5" name="图片 4" descr="小鲸鱼APP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31520" y="13549630"/>
          <a:ext cx="576580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23</xdr:row>
      <xdr:rowOff>68580</xdr:rowOff>
    </xdr:from>
    <xdr:to>
      <xdr:col>1</xdr:col>
      <xdr:colOff>688975</xdr:colOff>
      <xdr:row>23</xdr:row>
      <xdr:rowOff>641350</xdr:rowOff>
    </xdr:to>
    <xdr:pic>
      <xdr:nvPicPr>
        <xdr:cNvPr id="6" name="图片 5" descr="杰士邦飞机杯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31520" y="15608935"/>
          <a:ext cx="576580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35</xdr:row>
      <xdr:rowOff>78740</xdr:rowOff>
    </xdr:from>
    <xdr:to>
      <xdr:col>1</xdr:col>
      <xdr:colOff>688975</xdr:colOff>
      <xdr:row>35</xdr:row>
      <xdr:rowOff>654685</xdr:rowOff>
    </xdr:to>
    <xdr:pic>
      <xdr:nvPicPr>
        <xdr:cNvPr id="7" name="图片 6" descr="小米指甲剪套装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31520" y="23848695"/>
          <a:ext cx="576580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67945</xdr:colOff>
      <xdr:row>30</xdr:row>
      <xdr:rowOff>67310</xdr:rowOff>
    </xdr:from>
    <xdr:to>
      <xdr:col>1</xdr:col>
      <xdr:colOff>732790</xdr:colOff>
      <xdr:row>30</xdr:row>
      <xdr:rowOff>640715</xdr:rowOff>
    </xdr:to>
    <xdr:pic>
      <xdr:nvPicPr>
        <xdr:cNvPr id="8" name="图片 7" descr="可孚HPV检测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87070" y="20408265"/>
          <a:ext cx="664845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28</xdr:row>
      <xdr:rowOff>61595</xdr:rowOff>
    </xdr:from>
    <xdr:to>
      <xdr:col>1</xdr:col>
      <xdr:colOff>688340</xdr:colOff>
      <xdr:row>28</xdr:row>
      <xdr:rowOff>635000</xdr:rowOff>
    </xdr:to>
    <xdr:pic>
      <xdr:nvPicPr>
        <xdr:cNvPr id="9" name="图片 8" descr="口袋旅行盒装一次性内裤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31520" y="19030950"/>
          <a:ext cx="575945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27</xdr:row>
      <xdr:rowOff>57785</xdr:rowOff>
    </xdr:from>
    <xdr:to>
      <xdr:col>1</xdr:col>
      <xdr:colOff>688340</xdr:colOff>
      <xdr:row>27</xdr:row>
      <xdr:rowOff>631190</xdr:rowOff>
    </xdr:to>
    <xdr:pic>
      <xdr:nvPicPr>
        <xdr:cNvPr id="10" name="图片 9" descr="口袋旅行袋装莫兰蒂一次性内裤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31520" y="18341340"/>
          <a:ext cx="575945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33</xdr:row>
      <xdr:rowOff>46355</xdr:rowOff>
    </xdr:from>
    <xdr:to>
      <xdr:col>1</xdr:col>
      <xdr:colOff>688340</xdr:colOff>
      <xdr:row>33</xdr:row>
      <xdr:rowOff>619760</xdr:rowOff>
    </xdr:to>
    <xdr:pic>
      <xdr:nvPicPr>
        <xdr:cNvPr id="11" name="图片 10" descr="海氏海诺一次性乳贴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31520" y="22444710"/>
          <a:ext cx="575945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34</xdr:row>
      <xdr:rowOff>64770</xdr:rowOff>
    </xdr:from>
    <xdr:to>
      <xdr:col>1</xdr:col>
      <xdr:colOff>688340</xdr:colOff>
      <xdr:row>34</xdr:row>
      <xdr:rowOff>637540</xdr:rowOff>
    </xdr:to>
    <xdr:pic>
      <xdr:nvPicPr>
        <xdr:cNvPr id="12" name="图片 11" descr="75%酒精湿巾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31520" y="23148925"/>
          <a:ext cx="575945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21</xdr:row>
      <xdr:rowOff>53975</xdr:rowOff>
    </xdr:from>
    <xdr:to>
      <xdr:col>1</xdr:col>
      <xdr:colOff>688340</xdr:colOff>
      <xdr:row>21</xdr:row>
      <xdr:rowOff>626745</xdr:rowOff>
    </xdr:to>
    <xdr:pic>
      <xdr:nvPicPr>
        <xdr:cNvPr id="13" name="图片 12" descr="小鲸鱼套装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31520" y="14222730"/>
          <a:ext cx="575945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26</xdr:row>
      <xdr:rowOff>57150</xdr:rowOff>
    </xdr:from>
    <xdr:to>
      <xdr:col>1</xdr:col>
      <xdr:colOff>688340</xdr:colOff>
      <xdr:row>26</xdr:row>
      <xdr:rowOff>629920</xdr:rowOff>
    </xdr:to>
    <xdr:pic>
      <xdr:nvPicPr>
        <xdr:cNvPr id="14" name="图片 13" descr="女士云感内裤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31520" y="17654905"/>
          <a:ext cx="575945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22</xdr:row>
      <xdr:rowOff>46355</xdr:rowOff>
    </xdr:from>
    <xdr:to>
      <xdr:col>1</xdr:col>
      <xdr:colOff>688340</xdr:colOff>
      <xdr:row>22</xdr:row>
      <xdr:rowOff>619125</xdr:rowOff>
    </xdr:to>
    <xdr:pic>
      <xdr:nvPicPr>
        <xdr:cNvPr id="15" name="图片 14" descr="sm11件套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31520" y="14900910"/>
          <a:ext cx="575945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7</xdr:row>
      <xdr:rowOff>76200</xdr:rowOff>
    </xdr:from>
    <xdr:to>
      <xdr:col>1</xdr:col>
      <xdr:colOff>688340</xdr:colOff>
      <xdr:row>7</xdr:row>
      <xdr:rowOff>652145</xdr:rowOff>
    </xdr:to>
    <xdr:pic>
      <xdr:nvPicPr>
        <xdr:cNvPr id="16" name="图片 15" descr="拖肥椰果糖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31520" y="464375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9</xdr:row>
      <xdr:rowOff>57150</xdr:rowOff>
    </xdr:from>
    <xdr:to>
      <xdr:col>1</xdr:col>
      <xdr:colOff>688340</xdr:colOff>
      <xdr:row>9</xdr:row>
      <xdr:rowOff>630555</xdr:rowOff>
    </xdr:to>
    <xdr:pic>
      <xdr:nvPicPr>
        <xdr:cNvPr id="17" name="图片 16" descr="一根筋豆角干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31520" y="5996305"/>
          <a:ext cx="575945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10</xdr:row>
      <xdr:rowOff>59055</xdr:rowOff>
    </xdr:from>
    <xdr:to>
      <xdr:col>1</xdr:col>
      <xdr:colOff>687070</xdr:colOff>
      <xdr:row>10</xdr:row>
      <xdr:rowOff>632460</xdr:rowOff>
    </xdr:to>
    <xdr:pic>
      <xdr:nvPicPr>
        <xdr:cNvPr id="18" name="图片 17" descr="海洋水晶宝宝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733425" y="6684010"/>
          <a:ext cx="572770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11</xdr:row>
      <xdr:rowOff>62865</xdr:rowOff>
    </xdr:from>
    <xdr:to>
      <xdr:col>1</xdr:col>
      <xdr:colOff>687070</xdr:colOff>
      <xdr:row>11</xdr:row>
      <xdr:rowOff>636270</xdr:rowOff>
    </xdr:to>
    <xdr:pic>
      <xdr:nvPicPr>
        <xdr:cNvPr id="19" name="图片 18" descr="卫龙魔芋爽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33425" y="7373620"/>
          <a:ext cx="572770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13</xdr:row>
      <xdr:rowOff>55245</xdr:rowOff>
    </xdr:from>
    <xdr:to>
      <xdr:col>1</xdr:col>
      <xdr:colOff>688340</xdr:colOff>
      <xdr:row>13</xdr:row>
      <xdr:rowOff>631190</xdr:rowOff>
    </xdr:to>
    <xdr:pic>
      <xdr:nvPicPr>
        <xdr:cNvPr id="20" name="图片 19" descr="松花皮蛋香肠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31520" y="8737600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12</xdr:row>
      <xdr:rowOff>52070</xdr:rowOff>
    </xdr:from>
    <xdr:to>
      <xdr:col>1</xdr:col>
      <xdr:colOff>688340</xdr:colOff>
      <xdr:row>12</xdr:row>
      <xdr:rowOff>624840</xdr:rowOff>
    </xdr:to>
    <xdr:pic>
      <xdr:nvPicPr>
        <xdr:cNvPr id="21" name="图片 20" descr="香辣活珠子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731520" y="8048625"/>
          <a:ext cx="575945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14</xdr:row>
      <xdr:rowOff>62865</xdr:rowOff>
    </xdr:from>
    <xdr:to>
      <xdr:col>1</xdr:col>
      <xdr:colOff>688975</xdr:colOff>
      <xdr:row>14</xdr:row>
      <xdr:rowOff>635635</xdr:rowOff>
    </xdr:to>
    <xdr:pic>
      <xdr:nvPicPr>
        <xdr:cNvPr id="22" name="图片 21" descr="酥脆蝉蛹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31520" y="9431020"/>
          <a:ext cx="576580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15</xdr:row>
      <xdr:rowOff>50165</xdr:rowOff>
    </xdr:from>
    <xdr:to>
      <xdr:col>1</xdr:col>
      <xdr:colOff>688975</xdr:colOff>
      <xdr:row>15</xdr:row>
      <xdr:rowOff>622935</xdr:rowOff>
    </xdr:to>
    <xdr:pic>
      <xdr:nvPicPr>
        <xdr:cNvPr id="23" name="图片 22" descr="素大刀肉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731520" y="10104120"/>
          <a:ext cx="576580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16</xdr:row>
      <xdr:rowOff>53975</xdr:rowOff>
    </xdr:from>
    <xdr:to>
      <xdr:col>1</xdr:col>
      <xdr:colOff>688975</xdr:colOff>
      <xdr:row>16</xdr:row>
      <xdr:rowOff>626745</xdr:rowOff>
    </xdr:to>
    <xdr:pic>
      <xdr:nvPicPr>
        <xdr:cNvPr id="24" name="图片 23" descr="门柜修复片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731520" y="10793730"/>
          <a:ext cx="576580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17</xdr:row>
      <xdr:rowOff>55245</xdr:rowOff>
    </xdr:from>
    <xdr:to>
      <xdr:col>1</xdr:col>
      <xdr:colOff>688975</xdr:colOff>
      <xdr:row>17</xdr:row>
      <xdr:rowOff>631190</xdr:rowOff>
    </xdr:to>
    <xdr:pic>
      <xdr:nvPicPr>
        <xdr:cNvPr id="25" name="图片 24" descr="医用HPV检测纸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731520" y="11480800"/>
          <a:ext cx="576580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31</xdr:row>
      <xdr:rowOff>71755</xdr:rowOff>
    </xdr:from>
    <xdr:to>
      <xdr:col>1</xdr:col>
      <xdr:colOff>688340</xdr:colOff>
      <xdr:row>31</xdr:row>
      <xdr:rowOff>645160</xdr:rowOff>
    </xdr:to>
    <xdr:pic>
      <xdr:nvPicPr>
        <xdr:cNvPr id="26" name="图片 25" descr="幽门螺旋杆菌检测纸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731520" y="21098510"/>
          <a:ext cx="575945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18</xdr:row>
      <xdr:rowOff>74930</xdr:rowOff>
    </xdr:from>
    <xdr:to>
      <xdr:col>1</xdr:col>
      <xdr:colOff>688340</xdr:colOff>
      <xdr:row>18</xdr:row>
      <xdr:rowOff>648335</xdr:rowOff>
    </xdr:to>
    <xdr:pic>
      <xdr:nvPicPr>
        <xdr:cNvPr id="27" name="图片 26" descr="新势力医用安全套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731520" y="12186285"/>
          <a:ext cx="575945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36</xdr:row>
      <xdr:rowOff>55245</xdr:rowOff>
    </xdr:from>
    <xdr:to>
      <xdr:col>1</xdr:col>
      <xdr:colOff>688340</xdr:colOff>
      <xdr:row>36</xdr:row>
      <xdr:rowOff>628650</xdr:rowOff>
    </xdr:to>
    <xdr:pic>
      <xdr:nvPicPr>
        <xdr:cNvPr id="28" name="图片 27" descr="kity搓澡手套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731520" y="24511000"/>
          <a:ext cx="575945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19</xdr:row>
      <xdr:rowOff>66040</xdr:rowOff>
    </xdr:from>
    <xdr:to>
      <xdr:col>1</xdr:col>
      <xdr:colOff>688340</xdr:colOff>
      <xdr:row>19</xdr:row>
      <xdr:rowOff>639445</xdr:rowOff>
    </xdr:to>
    <xdr:pic>
      <xdr:nvPicPr>
        <xdr:cNvPr id="29" name="图片 28" descr="毓婷验孕纸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731520" y="12863195"/>
          <a:ext cx="575945" cy="57340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32</xdr:row>
      <xdr:rowOff>56515</xdr:rowOff>
    </xdr:from>
    <xdr:to>
      <xdr:col>1</xdr:col>
      <xdr:colOff>688340</xdr:colOff>
      <xdr:row>32</xdr:row>
      <xdr:rowOff>629285</xdr:rowOff>
    </xdr:to>
    <xdr:pic>
      <xdr:nvPicPr>
        <xdr:cNvPr id="30" name="图片 29" descr="一次性乳贴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731520" y="21769070"/>
          <a:ext cx="575945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29</xdr:row>
      <xdr:rowOff>59055</xdr:rowOff>
    </xdr:from>
    <xdr:to>
      <xdr:col>1</xdr:col>
      <xdr:colOff>688340</xdr:colOff>
      <xdr:row>29</xdr:row>
      <xdr:rowOff>631825</xdr:rowOff>
    </xdr:to>
    <xdr:pic>
      <xdr:nvPicPr>
        <xdr:cNvPr id="31" name="图片 30" descr="猫人皮干内裤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731520" y="19714210"/>
          <a:ext cx="575945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3</xdr:row>
      <xdr:rowOff>45720</xdr:rowOff>
    </xdr:from>
    <xdr:to>
      <xdr:col>1</xdr:col>
      <xdr:colOff>688340</xdr:colOff>
      <xdr:row>3</xdr:row>
      <xdr:rowOff>621665</xdr:rowOff>
    </xdr:to>
    <xdr:pic>
      <xdr:nvPicPr>
        <xdr:cNvPr id="32" name="图片 31" descr="南京板鸭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731520" y="187007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110490</xdr:colOff>
      <xdr:row>4</xdr:row>
      <xdr:rowOff>62230</xdr:rowOff>
    </xdr:from>
    <xdr:to>
      <xdr:col>1</xdr:col>
      <xdr:colOff>690245</xdr:colOff>
      <xdr:row>4</xdr:row>
      <xdr:rowOff>638175</xdr:rowOff>
    </xdr:to>
    <xdr:pic>
      <xdr:nvPicPr>
        <xdr:cNvPr id="33" name="图片 32" descr="琼宇神雕侠侣辣条"/>
        <xdr:cNvPicPr>
          <a:picLocks noChangeAspect="1"/>
        </xdr:cNvPicPr>
      </xdr:nvPicPr>
      <xdr:blipFill>
        <a:blip r:embed="rId32"/>
        <a:srcRect b="24478"/>
        <a:stretch>
          <a:fillRect/>
        </a:stretch>
      </xdr:blipFill>
      <xdr:spPr>
        <a:xfrm>
          <a:off x="729615" y="2572385"/>
          <a:ext cx="57975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113030</xdr:colOff>
      <xdr:row>5</xdr:row>
      <xdr:rowOff>64135</xdr:rowOff>
    </xdr:from>
    <xdr:to>
      <xdr:col>1</xdr:col>
      <xdr:colOff>688340</xdr:colOff>
      <xdr:row>5</xdr:row>
      <xdr:rowOff>636905</xdr:rowOff>
    </xdr:to>
    <xdr:pic>
      <xdr:nvPicPr>
        <xdr:cNvPr id="34" name="图片 33" descr="乐潮酸妞软糖"/>
        <xdr:cNvPicPr>
          <a:picLocks noChangeAspect="1"/>
        </xdr:cNvPicPr>
      </xdr:nvPicPr>
      <xdr:blipFill>
        <a:blip r:embed="rId33"/>
        <a:srcRect b="23815"/>
        <a:stretch>
          <a:fillRect/>
        </a:stretch>
      </xdr:blipFill>
      <xdr:spPr>
        <a:xfrm>
          <a:off x="732155" y="3260090"/>
          <a:ext cx="575310" cy="5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6</xdr:row>
      <xdr:rowOff>69850</xdr:rowOff>
    </xdr:from>
    <xdr:to>
      <xdr:col>1</xdr:col>
      <xdr:colOff>688340</xdr:colOff>
      <xdr:row>6</xdr:row>
      <xdr:rowOff>645795</xdr:rowOff>
    </xdr:to>
    <xdr:pic>
      <xdr:nvPicPr>
        <xdr:cNvPr id="35" name="图片 34" descr="彬彬旺牛板筋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731520" y="395160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8</xdr:row>
      <xdr:rowOff>53340</xdr:rowOff>
    </xdr:from>
    <xdr:to>
      <xdr:col>1</xdr:col>
      <xdr:colOff>688340</xdr:colOff>
      <xdr:row>8</xdr:row>
      <xdr:rowOff>629285</xdr:rowOff>
    </xdr:to>
    <xdr:pic>
      <xdr:nvPicPr>
        <xdr:cNvPr id="36" name="图片 35" descr="毛湘德香菇丝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731520" y="5306695"/>
          <a:ext cx="575945" cy="57594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</xdr:colOff>
      <xdr:row>2</xdr:row>
      <xdr:rowOff>51435</xdr:rowOff>
    </xdr:from>
    <xdr:to>
      <xdr:col>1</xdr:col>
      <xdr:colOff>688975</xdr:colOff>
      <xdr:row>2</xdr:row>
      <xdr:rowOff>633095</xdr:rowOff>
    </xdr:to>
    <xdr:pic>
      <xdr:nvPicPr>
        <xdr:cNvPr id="37" name="图片 36" descr="云南野酸角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731520" y="1189990"/>
          <a:ext cx="576580" cy="581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114935</xdr:colOff>
      <xdr:row>38</xdr:row>
      <xdr:rowOff>49530</xdr:rowOff>
    </xdr:from>
    <xdr:to>
      <xdr:col>1</xdr:col>
      <xdr:colOff>690245</xdr:colOff>
      <xdr:row>38</xdr:row>
      <xdr:rowOff>622300</xdr:rowOff>
    </xdr:to>
    <xdr:pic>
      <xdr:nvPicPr>
        <xdr:cNvPr id="38" name="图片 37" descr="琥珀牛羊配"/>
        <xdr:cNvPicPr>
          <a:picLocks noChangeAspect="1"/>
        </xdr:cNvPicPr>
      </xdr:nvPicPr>
      <xdr:blipFill>
        <a:blip r:embed="rId37"/>
        <a:srcRect b="23815"/>
        <a:stretch>
          <a:fillRect/>
        </a:stretch>
      </xdr:blipFill>
      <xdr:spPr>
        <a:xfrm>
          <a:off x="734060" y="25876885"/>
          <a:ext cx="575310" cy="5727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83"/>
  <sheetViews>
    <sheetView workbookViewId="0">
      <pane xSplit="3" ySplit="2" topLeftCell="D26" activePane="bottomRight" state="frozen"/>
      <selection/>
      <selection pane="topRight"/>
      <selection pane="bottomLeft"/>
      <selection pane="bottomRight" activeCell="K34" sqref="K34"/>
    </sheetView>
  </sheetViews>
  <sheetFormatPr defaultColWidth="9.06666666666667" defaultRowHeight="54" customHeight="1"/>
  <cols>
    <col min="1" max="1" width="10" style="3" customWidth="1"/>
    <col min="2" max="2" width="11.875" style="3" customWidth="1"/>
    <col min="3" max="3" width="34.5" style="4" customWidth="1"/>
    <col min="4" max="4" width="11.875" style="5" customWidth="1"/>
    <col min="5" max="5" width="10.5" style="3" customWidth="1"/>
    <col min="6" max="6" width="6.375" style="6" customWidth="1"/>
    <col min="7" max="7" width="6.375" style="3" customWidth="1"/>
    <col min="8" max="8" width="12.1333333333333" style="7" customWidth="1"/>
    <col min="9" max="9" width="10.5" style="7" customWidth="1"/>
    <col min="10" max="10" width="20.5" style="6" customWidth="1"/>
    <col min="11" max="11" width="10.375" style="7" customWidth="1"/>
    <col min="12" max="12" width="9.875" style="7" customWidth="1"/>
    <col min="13" max="13" width="10.375" style="7" customWidth="1"/>
    <col min="14" max="14" width="11.9333333333333" style="7" customWidth="1"/>
    <col min="15" max="15" width="22.5" style="9" customWidth="1"/>
    <col min="16" max="16384" width="9.06666666666667" style="3" customWidth="1"/>
  </cols>
  <sheetData>
    <row r="1" s="112" customFormat="1" customHeight="1" spans="1:17">
      <c r="A1" s="10" t="s">
        <v>0</v>
      </c>
      <c r="B1" s="10"/>
      <c r="C1" s="11"/>
      <c r="D1" s="12"/>
      <c r="E1" s="10"/>
      <c r="F1" s="10"/>
      <c r="G1" s="10"/>
      <c r="H1" s="13"/>
      <c r="I1" s="13"/>
      <c r="J1" s="10"/>
      <c r="K1" s="113"/>
      <c r="L1" s="113"/>
      <c r="M1" s="113"/>
      <c r="N1" s="113"/>
      <c r="O1" s="114"/>
    </row>
    <row r="2" s="1" customFormat="1" ht="35.65" customHeight="1" spans="1:17">
      <c r="A2" s="14" t="s">
        <v>1</v>
      </c>
      <c r="B2" s="14" t="s">
        <v>2</v>
      </c>
      <c r="C2" s="15" t="s">
        <v>3</v>
      </c>
      <c r="D2" s="16" t="s">
        <v>4</v>
      </c>
      <c r="E2" s="17" t="s">
        <v>5</v>
      </c>
      <c r="F2" s="17" t="s">
        <v>6</v>
      </c>
      <c r="G2" s="14" t="s">
        <v>7</v>
      </c>
      <c r="H2" s="18" t="s">
        <v>8</v>
      </c>
      <c r="I2" s="18" t="s">
        <v>9</v>
      </c>
      <c r="J2" s="17" t="s">
        <v>10</v>
      </c>
      <c r="K2" s="18" t="s">
        <v>11</v>
      </c>
      <c r="L2" s="18" t="s">
        <v>12</v>
      </c>
      <c r="M2" s="18" t="s">
        <v>13</v>
      </c>
      <c r="N2" s="18" t="s">
        <v>14</v>
      </c>
      <c r="O2" s="20" t="s">
        <v>15</v>
      </c>
    </row>
    <row r="3" s="3" customFormat="1" customHeight="1" spans="1:17">
      <c r="A3" s="21"/>
      <c r="B3" s="81"/>
      <c r="C3" s="22" t="s">
        <v>16</v>
      </c>
      <c r="D3" s="86">
        <f>H3/F3</f>
        <v>6.726</v>
      </c>
      <c r="E3" s="86">
        <v>9.9</v>
      </c>
      <c r="F3" s="83">
        <v>200</v>
      </c>
      <c r="G3" s="81" t="s">
        <v>17</v>
      </c>
      <c r="H3" s="25">
        <v>1345.2</v>
      </c>
      <c r="I3" s="27">
        <f>E3*F3</f>
        <v>1980</v>
      </c>
      <c r="J3" s="83"/>
      <c r="K3" s="25">
        <f t="shared" ref="K3:K9" si="0">I3-H3</f>
        <v>634.8</v>
      </c>
      <c r="L3" s="25">
        <f t="shared" ref="L3:L7" si="1">-H3</f>
        <v>-1345.2</v>
      </c>
      <c r="M3" s="87">
        <v>-31221.612490566</v>
      </c>
      <c r="N3" s="27">
        <f>L3+M3</f>
        <v>-32566.812490566</v>
      </c>
      <c r="O3" s="88"/>
    </row>
    <row r="4" s="2" customFormat="1" customHeight="1" spans="1:17">
      <c r="A4" s="21"/>
      <c r="B4" s="81"/>
      <c r="C4" s="22" t="s">
        <v>18</v>
      </c>
      <c r="D4" s="86">
        <v>13.75</v>
      </c>
      <c r="E4" s="31">
        <v>14.5</v>
      </c>
      <c r="F4" s="24">
        <v>2</v>
      </c>
      <c r="G4" s="21" t="s">
        <v>19</v>
      </c>
      <c r="H4" s="25">
        <f>D4*J4*F4</f>
        <v>550</v>
      </c>
      <c r="I4" s="25">
        <f>E4*J4*F4</f>
        <v>580</v>
      </c>
      <c r="J4" s="83">
        <v>20</v>
      </c>
      <c r="K4" s="25">
        <f t="shared" si="0"/>
        <v>30</v>
      </c>
      <c r="L4" s="25">
        <f t="shared" si="1"/>
        <v>-550</v>
      </c>
      <c r="M4" s="25">
        <v>60000</v>
      </c>
      <c r="N4" s="27">
        <f t="shared" ref="N4:N11" si="2">N3+L4+M4</f>
        <v>26883.187509434</v>
      </c>
      <c r="O4" s="28" t="s">
        <v>20</v>
      </c>
      <c r="P4" s="89"/>
    </row>
    <row r="5" customHeight="1" spans="1:17">
      <c r="A5" s="21"/>
      <c r="B5" s="81"/>
      <c r="C5" s="22" t="s">
        <v>21</v>
      </c>
      <c r="D5" s="86">
        <f>H5/F5/40</f>
        <v>7.1845</v>
      </c>
      <c r="E5" s="86">
        <v>9.8</v>
      </c>
      <c r="F5" s="83">
        <v>2</v>
      </c>
      <c r="G5" s="81" t="s">
        <v>19</v>
      </c>
      <c r="H5" s="25">
        <v>574.76</v>
      </c>
      <c r="I5" s="27">
        <f>E5*F5*40</f>
        <v>784</v>
      </c>
      <c r="J5" s="83" t="s">
        <v>22</v>
      </c>
      <c r="K5" s="25">
        <f t="shared" si="0"/>
        <v>209.24</v>
      </c>
      <c r="L5" s="25">
        <f t="shared" ref="L5:L31" si="3">-H5</f>
        <v>-574.76</v>
      </c>
      <c r="M5" s="27"/>
      <c r="N5" s="27">
        <f t="shared" si="2"/>
        <v>26308.427509434</v>
      </c>
      <c r="O5" s="88"/>
    </row>
    <row r="6" customHeight="1" spans="1:17">
      <c r="A6" s="21"/>
      <c r="B6" s="81"/>
      <c r="C6" s="22" t="s">
        <v>23</v>
      </c>
      <c r="D6" s="23">
        <f>H6/80</f>
        <v>3.926</v>
      </c>
      <c r="E6" s="23">
        <v>6.9</v>
      </c>
      <c r="F6" s="24">
        <v>1</v>
      </c>
      <c r="G6" s="21" t="s">
        <v>19</v>
      </c>
      <c r="H6" s="25">
        <v>314.08</v>
      </c>
      <c r="I6" s="25">
        <f>E6*80</f>
        <v>552</v>
      </c>
      <c r="J6" s="24" t="s">
        <v>24</v>
      </c>
      <c r="K6" s="25">
        <f t="shared" si="0"/>
        <v>237.92</v>
      </c>
      <c r="L6" s="25">
        <f t="shared" si="3"/>
        <v>-314.08</v>
      </c>
      <c r="M6" s="25"/>
      <c r="N6" s="27">
        <f t="shared" si="2"/>
        <v>25994.347509434</v>
      </c>
      <c r="O6" s="88"/>
    </row>
    <row r="7" s="2" customFormat="1" customHeight="1" spans="1:17">
      <c r="A7" s="21"/>
      <c r="B7" s="81"/>
      <c r="C7" s="22" t="s">
        <v>25</v>
      </c>
      <c r="D7" s="23">
        <f>H7/50</f>
        <v>2.6</v>
      </c>
      <c r="E7" s="81">
        <v>3.5</v>
      </c>
      <c r="F7" s="24">
        <v>1</v>
      </c>
      <c r="G7" s="21" t="s">
        <v>19</v>
      </c>
      <c r="H7" s="82">
        <v>130</v>
      </c>
      <c r="I7" s="23">
        <f>E7*50</f>
        <v>175</v>
      </c>
      <c r="J7" s="24" t="s">
        <v>26</v>
      </c>
      <c r="K7" s="25">
        <f t="shared" si="0"/>
        <v>45</v>
      </c>
      <c r="L7" s="25">
        <f t="shared" si="3"/>
        <v>-130</v>
      </c>
      <c r="M7" s="25"/>
      <c r="N7" s="27">
        <f t="shared" si="2"/>
        <v>25864.347509434</v>
      </c>
      <c r="O7" s="28"/>
      <c r="P7" s="29"/>
    </row>
    <row r="8" s="2" customFormat="1" customHeight="1" spans="1:17">
      <c r="A8" s="21"/>
      <c r="B8" s="81"/>
      <c r="C8" s="22" t="s">
        <v>27</v>
      </c>
      <c r="D8" s="86">
        <f>H8/F8/10</f>
        <v>7.2</v>
      </c>
      <c r="E8" s="23">
        <v>8.3</v>
      </c>
      <c r="F8" s="24">
        <v>10</v>
      </c>
      <c r="G8" s="21" t="s">
        <v>19</v>
      </c>
      <c r="H8" s="25">
        <v>720</v>
      </c>
      <c r="I8" s="25">
        <f>E8*F8*10</f>
        <v>830</v>
      </c>
      <c r="J8" s="25" t="s">
        <v>28</v>
      </c>
      <c r="K8" s="25">
        <f t="shared" si="0"/>
        <v>110</v>
      </c>
      <c r="L8" s="25">
        <f t="shared" si="3"/>
        <v>-720</v>
      </c>
      <c r="M8" s="25"/>
      <c r="N8" s="27">
        <f t="shared" si="2"/>
        <v>25144.347509434</v>
      </c>
      <c r="O8" s="28"/>
      <c r="P8" s="29"/>
    </row>
    <row r="9" s="2" customFormat="1" customHeight="1" spans="1:17">
      <c r="A9" s="21"/>
      <c r="B9" s="30"/>
      <c r="C9" s="22" t="s">
        <v>29</v>
      </c>
      <c r="D9" s="23">
        <f>H9/80</f>
        <v>12.858</v>
      </c>
      <c r="E9" s="23">
        <v>14.5</v>
      </c>
      <c r="F9" s="24">
        <v>1</v>
      </c>
      <c r="G9" s="21" t="s">
        <v>19</v>
      </c>
      <c r="H9" s="25">
        <v>1028.64</v>
      </c>
      <c r="I9" s="25">
        <f>E9*F9*80</f>
        <v>1160</v>
      </c>
      <c r="J9" s="24" t="s">
        <v>24</v>
      </c>
      <c r="K9" s="25">
        <f t="shared" si="0"/>
        <v>131.36</v>
      </c>
      <c r="L9" s="25">
        <f t="shared" si="3"/>
        <v>-1028.64</v>
      </c>
      <c r="M9" s="25"/>
      <c r="N9" s="27">
        <f t="shared" si="2"/>
        <v>24115.707509434</v>
      </c>
      <c r="O9" s="28"/>
      <c r="P9" s="29"/>
    </row>
    <row r="10" s="2" customFormat="1" customHeight="1" spans="1:17">
      <c r="A10" s="21"/>
      <c r="B10" s="30"/>
      <c r="C10" s="22" t="s">
        <v>30</v>
      </c>
      <c r="D10" s="23">
        <f>H10/F10/60</f>
        <v>13.1841666666667</v>
      </c>
      <c r="E10" s="23">
        <v>15</v>
      </c>
      <c r="F10" s="24">
        <v>1</v>
      </c>
      <c r="G10" s="21" t="s">
        <v>19</v>
      </c>
      <c r="H10" s="25">
        <v>791.05</v>
      </c>
      <c r="I10" s="25">
        <f>E10*F10*60</f>
        <v>900</v>
      </c>
      <c r="J10" s="24" t="s">
        <v>31</v>
      </c>
      <c r="K10" s="25">
        <f t="shared" ref="K10:K31" si="4">I10-H10</f>
        <v>108.95</v>
      </c>
      <c r="L10" s="25">
        <f t="shared" si="3"/>
        <v>-791.05</v>
      </c>
      <c r="M10" s="25"/>
      <c r="N10" s="27">
        <f t="shared" si="2"/>
        <v>23324.657509434</v>
      </c>
      <c r="O10" s="28"/>
      <c r="P10" s="29"/>
    </row>
    <row r="11" s="2" customFormat="1" customHeight="1" spans="1:17">
      <c r="A11" s="21"/>
      <c r="B11" s="30"/>
      <c r="C11" s="22" t="s">
        <v>32</v>
      </c>
      <c r="D11" s="23">
        <f>H11/F11/30</f>
        <v>9.81266666666667</v>
      </c>
      <c r="E11" s="81">
        <v>11.6</v>
      </c>
      <c r="F11" s="24">
        <v>1</v>
      </c>
      <c r="G11" s="21" t="s">
        <v>19</v>
      </c>
      <c r="H11" s="82">
        <v>294.38</v>
      </c>
      <c r="I11" s="23">
        <f>E11*F11*30</f>
        <v>348</v>
      </c>
      <c r="J11" s="24" t="s">
        <v>33</v>
      </c>
      <c r="K11" s="25">
        <f t="shared" si="4"/>
        <v>53.62</v>
      </c>
      <c r="L11" s="25">
        <f t="shared" si="3"/>
        <v>-294.38</v>
      </c>
      <c r="M11" s="25"/>
      <c r="N11" s="27">
        <f t="shared" si="2"/>
        <v>23030.277509434</v>
      </c>
      <c r="O11" s="28"/>
      <c r="P11" s="29"/>
    </row>
    <row r="12" s="2" customFormat="1" customHeight="1" spans="1:17">
      <c r="A12" s="21"/>
      <c r="B12" s="30"/>
      <c r="C12" s="22" t="s">
        <v>34</v>
      </c>
      <c r="D12" s="23">
        <v>1.94</v>
      </c>
      <c r="E12" s="23">
        <v>2.6</v>
      </c>
      <c r="F12" s="24">
        <v>500</v>
      </c>
      <c r="G12" s="21" t="s">
        <v>17</v>
      </c>
      <c r="H12" s="25">
        <f>D12*F12</f>
        <v>970</v>
      </c>
      <c r="I12" s="25">
        <f>E12*F12</f>
        <v>1300</v>
      </c>
      <c r="J12" s="24"/>
      <c r="K12" s="25">
        <f t="shared" si="4"/>
        <v>330</v>
      </c>
      <c r="L12" s="25">
        <f t="shared" si="3"/>
        <v>-970</v>
      </c>
      <c r="M12" s="25"/>
      <c r="N12" s="27">
        <f t="shared" ref="N12:N31" si="5">N11+L12+M12</f>
        <v>22060.277509434</v>
      </c>
      <c r="O12" s="28"/>
      <c r="P12" s="29"/>
      <c r="Q12" s="29"/>
    </row>
    <row r="13" s="2" customFormat="1" customHeight="1" spans="1:17">
      <c r="A13" s="21"/>
      <c r="B13" s="30"/>
      <c r="C13" s="22" t="s">
        <v>35</v>
      </c>
      <c r="D13" s="23">
        <v>2.14</v>
      </c>
      <c r="E13" s="23">
        <v>2.8</v>
      </c>
      <c r="F13" s="24">
        <v>500</v>
      </c>
      <c r="G13" s="21" t="s">
        <v>17</v>
      </c>
      <c r="H13" s="25">
        <f>D13*F13</f>
        <v>1070</v>
      </c>
      <c r="I13" s="25">
        <f>E13*F13</f>
        <v>1400</v>
      </c>
      <c r="J13" s="24"/>
      <c r="K13" s="25">
        <f t="shared" si="4"/>
        <v>330</v>
      </c>
      <c r="L13" s="25">
        <f t="shared" si="3"/>
        <v>-1070</v>
      </c>
      <c r="M13" s="25"/>
      <c r="N13" s="27">
        <f t="shared" si="5"/>
        <v>20990.277509434</v>
      </c>
      <c r="O13" s="28"/>
      <c r="P13" s="29"/>
      <c r="Q13" s="29"/>
    </row>
    <row r="14" s="2" customFormat="1" customHeight="1" spans="1:17">
      <c r="A14" s="21"/>
      <c r="B14" s="30"/>
      <c r="C14" s="22" t="s">
        <v>36</v>
      </c>
      <c r="D14" s="23">
        <f>H14/F14/30</f>
        <v>10.8943333333333</v>
      </c>
      <c r="E14" s="23">
        <v>13.5</v>
      </c>
      <c r="F14" s="24">
        <v>1</v>
      </c>
      <c r="G14" s="21" t="s">
        <v>19</v>
      </c>
      <c r="H14" s="25">
        <f>165.36+108.44+53.03</f>
        <v>326.83</v>
      </c>
      <c r="I14" s="25">
        <f>E14*F14*30</f>
        <v>405</v>
      </c>
      <c r="J14" s="24" t="s">
        <v>37</v>
      </c>
      <c r="K14" s="25">
        <f t="shared" si="4"/>
        <v>78.17</v>
      </c>
      <c r="L14" s="25">
        <f t="shared" si="3"/>
        <v>-326.83</v>
      </c>
      <c r="M14" s="25"/>
      <c r="N14" s="27">
        <f t="shared" si="5"/>
        <v>20663.447509434</v>
      </c>
      <c r="O14" s="28"/>
      <c r="P14" s="29"/>
      <c r="Q14" s="29"/>
    </row>
    <row r="15" s="2" customFormat="1" customHeight="1" spans="1:17">
      <c r="A15" s="21"/>
      <c r="B15" s="30"/>
      <c r="C15" s="22" t="s">
        <v>38</v>
      </c>
      <c r="D15" s="23">
        <f>H15/F15/45</f>
        <v>8.82222222222222</v>
      </c>
      <c r="E15" s="23">
        <v>12.5</v>
      </c>
      <c r="F15" s="24">
        <v>1</v>
      </c>
      <c r="G15" s="21" t="s">
        <v>19</v>
      </c>
      <c r="H15" s="25">
        <v>397</v>
      </c>
      <c r="I15" s="25">
        <f>E15*F15*45</f>
        <v>562.5</v>
      </c>
      <c r="J15" s="24" t="s">
        <v>39</v>
      </c>
      <c r="K15" s="25">
        <f t="shared" si="4"/>
        <v>165.5</v>
      </c>
      <c r="L15" s="25">
        <f t="shared" si="3"/>
        <v>-397</v>
      </c>
      <c r="M15" s="25"/>
      <c r="N15" s="27">
        <f t="shared" si="5"/>
        <v>20266.447509434</v>
      </c>
      <c r="O15" s="28"/>
      <c r="P15" s="29"/>
      <c r="Q15" s="29"/>
    </row>
    <row r="16" s="2" customFormat="1" customHeight="1" spans="1:17">
      <c r="A16" s="21"/>
      <c r="B16" s="30"/>
      <c r="C16" s="22" t="s">
        <v>40</v>
      </c>
      <c r="D16" s="23">
        <f>H16/F16/80</f>
        <v>11.625</v>
      </c>
      <c r="E16" s="23">
        <v>13.5</v>
      </c>
      <c r="F16" s="24">
        <v>1</v>
      </c>
      <c r="G16" s="21" t="s">
        <v>19</v>
      </c>
      <c r="H16" s="25">
        <v>930</v>
      </c>
      <c r="I16" s="25">
        <f>E16*F16*80</f>
        <v>1080</v>
      </c>
      <c r="J16" s="24" t="s">
        <v>41</v>
      </c>
      <c r="K16" s="25">
        <f t="shared" si="4"/>
        <v>150</v>
      </c>
      <c r="L16" s="25">
        <f t="shared" si="3"/>
        <v>-930</v>
      </c>
      <c r="M16" s="25"/>
      <c r="N16" s="27">
        <f t="shared" si="5"/>
        <v>19336.447509434</v>
      </c>
      <c r="O16" s="28"/>
      <c r="P16" s="29"/>
      <c r="Q16" s="29"/>
    </row>
    <row r="17" s="2" customFormat="1" customHeight="1" spans="1:17">
      <c r="A17" s="21"/>
      <c r="B17" s="30"/>
      <c r="C17" s="22" t="s">
        <v>42</v>
      </c>
      <c r="D17" s="23">
        <f>H17/F17/40</f>
        <v>14.246</v>
      </c>
      <c r="E17" s="23">
        <v>16.5</v>
      </c>
      <c r="F17" s="24">
        <v>1</v>
      </c>
      <c r="G17" s="21" t="s">
        <v>19</v>
      </c>
      <c r="H17" s="25">
        <v>569.84</v>
      </c>
      <c r="I17" s="25">
        <f>E17*40*F17</f>
        <v>660</v>
      </c>
      <c r="J17" s="24" t="s">
        <v>43</v>
      </c>
      <c r="K17" s="25">
        <f t="shared" si="4"/>
        <v>90.16</v>
      </c>
      <c r="L17" s="25">
        <f t="shared" si="3"/>
        <v>-569.84</v>
      </c>
      <c r="M17" s="25"/>
      <c r="N17" s="27">
        <f t="shared" si="5"/>
        <v>18766.607509434</v>
      </c>
      <c r="O17" s="28"/>
      <c r="P17" s="29"/>
      <c r="Q17" s="29"/>
    </row>
    <row r="18" s="2" customFormat="1" customHeight="1" spans="1:17">
      <c r="A18" s="21"/>
      <c r="B18" s="30"/>
      <c r="C18" s="22" t="s">
        <v>44</v>
      </c>
      <c r="D18" s="23">
        <f>H18/F18/20</f>
        <v>58.6785</v>
      </c>
      <c r="E18" s="23">
        <v>75</v>
      </c>
      <c r="F18" s="24">
        <v>1</v>
      </c>
      <c r="G18" s="21" t="s">
        <v>19</v>
      </c>
      <c r="H18" s="25">
        <v>1173.57</v>
      </c>
      <c r="I18" s="25">
        <f>E18*F18*20</f>
        <v>1500</v>
      </c>
      <c r="J18" s="24" t="s">
        <v>45</v>
      </c>
      <c r="K18" s="25">
        <f t="shared" si="4"/>
        <v>326.43</v>
      </c>
      <c r="L18" s="25">
        <f t="shared" si="3"/>
        <v>-1173.57</v>
      </c>
      <c r="M18" s="25"/>
      <c r="N18" s="27">
        <f t="shared" si="5"/>
        <v>17593.037509434</v>
      </c>
      <c r="O18" s="28"/>
      <c r="P18" s="29"/>
      <c r="Q18" s="29"/>
    </row>
    <row r="19" s="2" customFormat="1" customHeight="1" spans="1:17">
      <c r="A19" s="21"/>
      <c r="B19" s="30"/>
      <c r="C19" s="22" t="s">
        <v>46</v>
      </c>
      <c r="D19" s="23">
        <f>H19/F19/20</f>
        <v>77.579</v>
      </c>
      <c r="E19" s="23">
        <v>95</v>
      </c>
      <c r="F19" s="24">
        <v>1</v>
      </c>
      <c r="G19" s="21" t="s">
        <v>19</v>
      </c>
      <c r="H19" s="25">
        <v>1551.58</v>
      </c>
      <c r="I19" s="25">
        <f>E19*F19*20</f>
        <v>1900</v>
      </c>
      <c r="J19" s="24" t="s">
        <v>47</v>
      </c>
      <c r="K19" s="25">
        <f t="shared" si="4"/>
        <v>348.42</v>
      </c>
      <c r="L19" s="25">
        <f t="shared" si="3"/>
        <v>-1551.58</v>
      </c>
      <c r="M19" s="25"/>
      <c r="N19" s="27">
        <f t="shared" si="5"/>
        <v>16041.457509434</v>
      </c>
      <c r="O19" s="28"/>
      <c r="P19" s="29"/>
      <c r="Q19" s="29"/>
    </row>
    <row r="20" s="2" customFormat="1" customHeight="1" spans="1:17">
      <c r="A20" s="21"/>
      <c r="B20" s="30"/>
      <c r="C20" s="22" t="s">
        <v>48</v>
      </c>
      <c r="D20" s="23">
        <f>H20/F20</f>
        <v>1.7</v>
      </c>
      <c r="E20" s="23">
        <v>2.5</v>
      </c>
      <c r="F20" s="24">
        <v>20</v>
      </c>
      <c r="G20" s="21" t="s">
        <v>49</v>
      </c>
      <c r="H20" s="25">
        <v>34</v>
      </c>
      <c r="I20" s="25">
        <f t="shared" ref="I20:I31" si="6">E20*F20</f>
        <v>50</v>
      </c>
      <c r="J20" s="24" t="s">
        <v>50</v>
      </c>
      <c r="K20" s="25">
        <f t="shared" si="4"/>
        <v>16</v>
      </c>
      <c r="L20" s="25">
        <f t="shared" si="3"/>
        <v>-34</v>
      </c>
      <c r="M20" s="25"/>
      <c r="N20" s="27">
        <f t="shared" si="5"/>
        <v>16007.457509434</v>
      </c>
      <c r="O20" s="28"/>
      <c r="P20" s="29"/>
      <c r="Q20" s="29"/>
    </row>
    <row r="21" s="2" customFormat="1" customHeight="1" spans="1:17">
      <c r="A21" s="21"/>
      <c r="B21" s="21"/>
      <c r="C21" s="22" t="s">
        <v>51</v>
      </c>
      <c r="D21" s="23">
        <f>H21/F21</f>
        <v>33</v>
      </c>
      <c r="E21" s="21">
        <v>35</v>
      </c>
      <c r="F21" s="24">
        <v>24</v>
      </c>
      <c r="G21" s="21" t="s">
        <v>52</v>
      </c>
      <c r="H21" s="23">
        <v>792</v>
      </c>
      <c r="I21" s="21">
        <f t="shared" si="6"/>
        <v>840</v>
      </c>
      <c r="J21" s="24" t="s">
        <v>53</v>
      </c>
      <c r="K21" s="25">
        <f t="shared" si="4"/>
        <v>48</v>
      </c>
      <c r="L21" s="25">
        <f t="shared" si="3"/>
        <v>-792</v>
      </c>
      <c r="M21" s="25"/>
      <c r="N21" s="27">
        <f t="shared" si="5"/>
        <v>15215.457509434</v>
      </c>
      <c r="O21" s="28"/>
      <c r="P21" s="89"/>
      <c r="Q21" s="29"/>
    </row>
    <row r="22" s="2" customFormat="1" customHeight="1" spans="1:17">
      <c r="A22" s="21"/>
      <c r="B22" s="21"/>
      <c r="C22" s="22" t="s">
        <v>54</v>
      </c>
      <c r="D22" s="23">
        <f>H22/F22</f>
        <v>14.255</v>
      </c>
      <c r="E22" s="21">
        <v>18</v>
      </c>
      <c r="F22" s="24">
        <v>10</v>
      </c>
      <c r="G22" s="21" t="s">
        <v>55</v>
      </c>
      <c r="H22" s="25">
        <v>142.55</v>
      </c>
      <c r="I22" s="25">
        <f t="shared" si="6"/>
        <v>180</v>
      </c>
      <c r="J22" s="24" t="s">
        <v>56</v>
      </c>
      <c r="K22" s="25">
        <f t="shared" si="4"/>
        <v>37.45</v>
      </c>
      <c r="L22" s="25">
        <f t="shared" si="3"/>
        <v>-142.55</v>
      </c>
      <c r="M22" s="25"/>
      <c r="N22" s="27">
        <f t="shared" si="5"/>
        <v>15072.907509434</v>
      </c>
      <c r="O22" s="28"/>
      <c r="P22" s="89"/>
      <c r="Q22" s="29"/>
    </row>
    <row r="23" s="2" customFormat="1" customHeight="1" spans="1:17">
      <c r="A23" s="21"/>
      <c r="B23" s="21"/>
      <c r="C23" s="22" t="s">
        <v>57</v>
      </c>
      <c r="D23" s="23">
        <v>1.2</v>
      </c>
      <c r="E23" s="21">
        <v>1.8</v>
      </c>
      <c r="F23" s="24">
        <v>200</v>
      </c>
      <c r="G23" s="21" t="s">
        <v>58</v>
      </c>
      <c r="H23" s="25">
        <f t="shared" ref="H23:H29" si="7">D23*F23</f>
        <v>240</v>
      </c>
      <c r="I23" s="25">
        <f t="shared" si="6"/>
        <v>360</v>
      </c>
      <c r="J23" s="24" t="s">
        <v>59</v>
      </c>
      <c r="K23" s="25">
        <f t="shared" si="4"/>
        <v>120</v>
      </c>
      <c r="L23" s="25">
        <f t="shared" si="3"/>
        <v>-240</v>
      </c>
      <c r="M23" s="25"/>
      <c r="N23" s="27">
        <f t="shared" si="5"/>
        <v>14832.907509434</v>
      </c>
      <c r="O23" s="28"/>
      <c r="P23" s="89"/>
      <c r="Q23" s="29"/>
    </row>
    <row r="24" s="2" customFormat="1" customHeight="1" spans="1:17">
      <c r="A24" s="21"/>
      <c r="B24" s="30"/>
      <c r="C24" s="22" t="s">
        <v>60</v>
      </c>
      <c r="D24" s="23">
        <v>1.15</v>
      </c>
      <c r="E24" s="23">
        <v>1.8</v>
      </c>
      <c r="F24" s="24">
        <v>200</v>
      </c>
      <c r="G24" s="21" t="s">
        <v>58</v>
      </c>
      <c r="H24" s="25">
        <f t="shared" si="7"/>
        <v>230</v>
      </c>
      <c r="I24" s="25">
        <f t="shared" si="6"/>
        <v>360</v>
      </c>
      <c r="J24" s="24" t="s">
        <v>59</v>
      </c>
      <c r="K24" s="25">
        <f t="shared" si="4"/>
        <v>130</v>
      </c>
      <c r="L24" s="25">
        <f t="shared" si="3"/>
        <v>-230</v>
      </c>
      <c r="M24" s="25"/>
      <c r="N24" s="27">
        <f t="shared" si="5"/>
        <v>14602.907509434</v>
      </c>
      <c r="O24" s="28"/>
      <c r="P24" s="29"/>
      <c r="Q24" s="29"/>
    </row>
    <row r="25" s="2" customFormat="1" customHeight="1" spans="1:17">
      <c r="A25" s="21"/>
      <c r="B25" s="30"/>
      <c r="C25" s="22" t="s">
        <v>61</v>
      </c>
      <c r="D25" s="23">
        <v>1.45</v>
      </c>
      <c r="E25" s="23">
        <v>2</v>
      </c>
      <c r="F25" s="24">
        <v>300</v>
      </c>
      <c r="G25" s="21" t="s">
        <v>58</v>
      </c>
      <c r="H25" s="25">
        <f t="shared" si="7"/>
        <v>435</v>
      </c>
      <c r="I25" s="25">
        <f t="shared" si="6"/>
        <v>600</v>
      </c>
      <c r="J25" s="24" t="s">
        <v>59</v>
      </c>
      <c r="K25" s="25">
        <f t="shared" si="4"/>
        <v>165</v>
      </c>
      <c r="L25" s="25">
        <f t="shared" si="3"/>
        <v>-435</v>
      </c>
      <c r="M25" s="25"/>
      <c r="N25" s="27">
        <f t="shared" si="5"/>
        <v>14167.907509434</v>
      </c>
      <c r="O25" s="28"/>
      <c r="P25" s="29"/>
      <c r="Q25" s="29"/>
    </row>
    <row r="26" s="2" customFormat="1" customHeight="1" spans="1:17">
      <c r="A26" s="21"/>
      <c r="B26" s="30"/>
      <c r="C26" s="22" t="s">
        <v>62</v>
      </c>
      <c r="D26" s="23">
        <v>0.75</v>
      </c>
      <c r="E26" s="23">
        <v>1.8</v>
      </c>
      <c r="F26" s="24">
        <v>300</v>
      </c>
      <c r="G26" s="21" t="s">
        <v>58</v>
      </c>
      <c r="H26" s="25">
        <f t="shared" si="7"/>
        <v>225</v>
      </c>
      <c r="I26" s="25">
        <f t="shared" si="6"/>
        <v>540</v>
      </c>
      <c r="J26" s="24" t="s">
        <v>63</v>
      </c>
      <c r="K26" s="25">
        <f t="shared" si="4"/>
        <v>315</v>
      </c>
      <c r="L26" s="25">
        <f t="shared" si="3"/>
        <v>-225</v>
      </c>
      <c r="M26" s="25"/>
      <c r="N26" s="27">
        <f t="shared" si="5"/>
        <v>13942.907509434</v>
      </c>
      <c r="O26" s="28"/>
      <c r="P26" s="29"/>
      <c r="Q26" s="29"/>
    </row>
    <row r="27" s="2" customFormat="1" customHeight="1" spans="1:17">
      <c r="A27" s="21"/>
      <c r="B27" s="30"/>
      <c r="C27" s="22" t="s">
        <v>64</v>
      </c>
      <c r="D27" s="23">
        <v>15.2</v>
      </c>
      <c r="E27" s="23">
        <v>19</v>
      </c>
      <c r="F27" s="24">
        <v>50</v>
      </c>
      <c r="G27" s="21" t="s">
        <v>58</v>
      </c>
      <c r="H27" s="25">
        <f t="shared" si="7"/>
        <v>760</v>
      </c>
      <c r="I27" s="25">
        <f t="shared" si="6"/>
        <v>950</v>
      </c>
      <c r="J27" s="24" t="s">
        <v>65</v>
      </c>
      <c r="K27" s="25">
        <f t="shared" si="4"/>
        <v>190</v>
      </c>
      <c r="L27" s="25">
        <f t="shared" si="3"/>
        <v>-760</v>
      </c>
      <c r="M27" s="25"/>
      <c r="N27" s="27">
        <f t="shared" si="5"/>
        <v>13182.907509434</v>
      </c>
      <c r="O27" s="28"/>
      <c r="P27" s="29"/>
      <c r="Q27" s="29"/>
    </row>
    <row r="28" s="2" customFormat="1" customHeight="1" spans="1:17">
      <c r="A28" s="21"/>
      <c r="B28" s="30"/>
      <c r="C28" s="22" t="s">
        <v>66</v>
      </c>
      <c r="D28" s="23">
        <v>15.2</v>
      </c>
      <c r="E28" s="23">
        <v>19</v>
      </c>
      <c r="F28" s="24">
        <v>50</v>
      </c>
      <c r="G28" s="21" t="s">
        <v>58</v>
      </c>
      <c r="H28" s="25">
        <f t="shared" si="7"/>
        <v>760</v>
      </c>
      <c r="I28" s="25">
        <f t="shared" si="6"/>
        <v>950</v>
      </c>
      <c r="J28" s="24" t="s">
        <v>65</v>
      </c>
      <c r="K28" s="25">
        <f t="shared" si="4"/>
        <v>190</v>
      </c>
      <c r="L28" s="25">
        <f t="shared" si="3"/>
        <v>-760</v>
      </c>
      <c r="M28" s="25"/>
      <c r="N28" s="27">
        <f t="shared" si="5"/>
        <v>12422.907509434</v>
      </c>
      <c r="O28" s="28"/>
      <c r="P28" s="29"/>
      <c r="Q28" s="29"/>
    </row>
    <row r="29" s="2" customFormat="1" customHeight="1" spans="1:17">
      <c r="A29" s="21"/>
      <c r="B29" s="30"/>
      <c r="C29" s="22" t="s">
        <v>67</v>
      </c>
      <c r="D29" s="23">
        <v>15.2</v>
      </c>
      <c r="E29" s="23">
        <v>19</v>
      </c>
      <c r="F29" s="24">
        <v>100</v>
      </c>
      <c r="G29" s="21" t="s">
        <v>58</v>
      </c>
      <c r="H29" s="25">
        <f t="shared" si="7"/>
        <v>1520</v>
      </c>
      <c r="I29" s="25">
        <f t="shared" si="6"/>
        <v>1900</v>
      </c>
      <c r="J29" s="24" t="s">
        <v>65</v>
      </c>
      <c r="K29" s="25">
        <f t="shared" si="4"/>
        <v>380</v>
      </c>
      <c r="L29" s="25">
        <f t="shared" si="3"/>
        <v>-1520</v>
      </c>
      <c r="M29" s="25"/>
      <c r="N29" s="27">
        <f t="shared" si="5"/>
        <v>10902.907509434</v>
      </c>
      <c r="O29" s="28"/>
      <c r="P29" s="29"/>
      <c r="Q29" s="29"/>
    </row>
    <row r="30" s="2" customFormat="1" customHeight="1" spans="1:17">
      <c r="A30" s="21"/>
      <c r="B30" s="30"/>
      <c r="C30" s="22" t="s">
        <v>68</v>
      </c>
      <c r="D30" s="23">
        <f>H30/F30</f>
        <v>72.923</v>
      </c>
      <c r="E30" s="23">
        <v>83</v>
      </c>
      <c r="F30" s="24">
        <v>10</v>
      </c>
      <c r="G30" s="21" t="s">
        <v>55</v>
      </c>
      <c r="H30" s="25">
        <f>440.14+289.09</f>
        <v>729.23</v>
      </c>
      <c r="I30" s="25">
        <f t="shared" si="6"/>
        <v>830</v>
      </c>
      <c r="J30" s="24"/>
      <c r="K30" s="25">
        <f t="shared" si="4"/>
        <v>100.77</v>
      </c>
      <c r="L30" s="25">
        <f t="shared" si="3"/>
        <v>-729.23</v>
      </c>
      <c r="M30" s="25"/>
      <c r="N30" s="27">
        <f t="shared" si="5"/>
        <v>10173.677509434</v>
      </c>
      <c r="O30" s="28"/>
      <c r="P30" s="29"/>
      <c r="Q30" s="29"/>
    </row>
    <row r="31" s="2" customFormat="1" customHeight="1" spans="1:17">
      <c r="A31" s="21"/>
      <c r="B31" s="21"/>
      <c r="C31" s="22" t="s">
        <v>69</v>
      </c>
      <c r="D31" s="23">
        <f>H31/F31</f>
        <v>104.642</v>
      </c>
      <c r="E31" s="21">
        <v>129</v>
      </c>
      <c r="F31" s="24">
        <v>10</v>
      </c>
      <c r="G31" s="21" t="s">
        <v>55</v>
      </c>
      <c r="H31" s="25">
        <v>1046.42</v>
      </c>
      <c r="I31" s="25">
        <f t="shared" si="6"/>
        <v>1290</v>
      </c>
      <c r="J31" s="24"/>
      <c r="K31" s="25">
        <f t="shared" si="4"/>
        <v>243.58</v>
      </c>
      <c r="L31" s="25">
        <f t="shared" si="3"/>
        <v>-1046.42</v>
      </c>
      <c r="M31" s="25"/>
      <c r="N31" s="27">
        <f t="shared" si="5"/>
        <v>9127.257509434</v>
      </c>
      <c r="O31" s="28"/>
      <c r="P31" s="29"/>
      <c r="Q31" s="29"/>
    </row>
    <row r="32" s="2" customFormat="1" customHeight="1" spans="1:17">
      <c r="A32" s="29"/>
      <c r="B32" s="29"/>
      <c r="C32" s="34"/>
      <c r="D32" s="35"/>
      <c r="E32" s="29"/>
      <c r="F32" s="101" t="s">
        <v>70</v>
      </c>
      <c r="G32" s="29"/>
      <c r="H32" s="37">
        <f>SUM(H3:H31)</f>
        <v>19651.13</v>
      </c>
      <c r="I32" s="102">
        <f>SUM(I3:I31)</f>
        <v>24966.5</v>
      </c>
      <c r="J32" s="36"/>
      <c r="K32" s="37"/>
      <c r="L32" s="37"/>
      <c r="M32" s="37"/>
      <c r="N32" s="37"/>
      <c r="O32" s="47"/>
      <c r="P32" s="29"/>
      <c r="Q32" s="29"/>
    </row>
    <row r="33" s="2" customFormat="1" customHeight="1" spans="1:17">
      <c r="A33" s="29"/>
      <c r="B33" s="29"/>
      <c r="C33" s="34"/>
      <c r="D33" s="35"/>
      <c r="E33" s="29"/>
      <c r="F33" s="36"/>
      <c r="G33" s="29"/>
      <c r="H33" s="37"/>
      <c r="I33" s="37"/>
      <c r="J33" s="36" t="s">
        <v>71</v>
      </c>
      <c r="K33" s="37">
        <f>SUM(K3:K31)</f>
        <v>5315.37</v>
      </c>
      <c r="L33" s="37"/>
      <c r="M33" s="37"/>
      <c r="N33" s="37"/>
      <c r="O33" s="47"/>
      <c r="P33" s="29"/>
      <c r="Q33" s="29"/>
    </row>
    <row r="34" s="2" customFormat="1" customHeight="1" spans="1:17">
      <c r="A34" s="29"/>
      <c r="B34" s="29"/>
      <c r="C34" s="34"/>
      <c r="D34" s="35"/>
      <c r="E34" s="29"/>
      <c r="F34" s="36"/>
      <c r="G34" s="29"/>
      <c r="H34" s="37"/>
      <c r="I34" s="37"/>
      <c r="J34" s="36" t="s">
        <v>72</v>
      </c>
      <c r="K34" s="103">
        <f>K33/2</f>
        <v>2657.685</v>
      </c>
      <c r="L34" s="37">
        <f>-K34</f>
        <v>-2657.685</v>
      </c>
      <c r="M34" s="37"/>
      <c r="N34" s="104">
        <f>N31+L34</f>
        <v>6469.572509434</v>
      </c>
      <c r="O34" s="47" t="s">
        <v>73</v>
      </c>
      <c r="P34" s="29"/>
      <c r="Q34" s="29"/>
    </row>
    <row r="35" s="2" customFormat="1" customHeight="1" spans="1:17">
      <c r="A35" s="29"/>
      <c r="B35" s="29"/>
      <c r="C35" s="34"/>
      <c r="D35" s="35"/>
      <c r="E35" s="29"/>
      <c r="F35" s="36"/>
      <c r="G35" s="29"/>
      <c r="H35" s="37"/>
      <c r="I35" s="37"/>
      <c r="J35" s="36"/>
      <c r="K35" s="37"/>
      <c r="L35" s="37"/>
      <c r="M35" s="37"/>
      <c r="N35" s="37"/>
      <c r="O35" s="47"/>
      <c r="P35" s="29"/>
      <c r="Q35" s="29"/>
    </row>
    <row r="36" s="2" customFormat="1" customHeight="1" spans="1:17">
      <c r="A36" s="29"/>
      <c r="B36" s="29"/>
      <c r="C36" s="34"/>
      <c r="D36" s="35"/>
      <c r="E36" s="29"/>
      <c r="F36" s="36"/>
      <c r="G36" s="29"/>
      <c r="H36" s="37"/>
      <c r="I36" s="37"/>
      <c r="J36" s="36"/>
      <c r="K36" s="37"/>
      <c r="L36" s="37"/>
      <c r="M36" s="37"/>
      <c r="N36" s="37"/>
      <c r="O36" s="47"/>
      <c r="P36" s="29"/>
      <c r="Q36" s="29"/>
    </row>
    <row r="37" s="2" customFormat="1" customHeight="1" spans="1:17">
      <c r="A37" s="29"/>
      <c r="B37" s="29"/>
      <c r="C37" s="34"/>
      <c r="D37" s="35"/>
      <c r="E37" s="29"/>
      <c r="F37" s="36"/>
      <c r="G37" s="29"/>
      <c r="H37" s="37"/>
      <c r="I37" s="37"/>
      <c r="J37" s="36"/>
      <c r="K37" s="37"/>
      <c r="L37" s="37"/>
      <c r="M37" s="37"/>
      <c r="N37" s="37"/>
      <c r="O37" s="47"/>
      <c r="P37" s="29"/>
      <c r="Q37" s="29"/>
    </row>
    <row r="38" s="2" customFormat="1" customHeight="1" spans="1:17">
      <c r="A38" s="29"/>
      <c r="B38" s="29"/>
      <c r="C38" s="34"/>
      <c r="D38" s="35"/>
      <c r="E38" s="29"/>
      <c r="F38" s="36"/>
      <c r="G38" s="29"/>
      <c r="H38" s="37"/>
      <c r="I38" s="37"/>
      <c r="J38" s="36"/>
      <c r="K38" s="37"/>
      <c r="L38" s="37"/>
      <c r="M38" s="37"/>
      <c r="N38" s="37"/>
      <c r="O38" s="47"/>
      <c r="P38" s="29"/>
      <c r="Q38" s="29"/>
    </row>
    <row r="39" s="2" customFormat="1" customHeight="1" spans="1:17">
      <c r="A39" s="29"/>
      <c r="B39" s="33"/>
      <c r="C39" s="34"/>
      <c r="D39" s="35"/>
      <c r="E39" s="35"/>
      <c r="F39" s="36"/>
      <c r="G39" s="29"/>
      <c r="H39" s="37"/>
      <c r="I39" s="37"/>
      <c r="J39" s="36"/>
      <c r="K39" s="37"/>
      <c r="L39" s="37"/>
      <c r="M39" s="37"/>
      <c r="N39" s="37"/>
      <c r="O39" s="47"/>
      <c r="P39" s="29"/>
      <c r="Q39" s="29"/>
    </row>
    <row r="40" s="2" customFormat="1" customHeight="1" spans="1:17">
      <c r="A40" s="29"/>
      <c r="B40" s="33"/>
      <c r="C40" s="34"/>
      <c r="D40" s="35"/>
      <c r="E40" s="35"/>
      <c r="F40" s="36"/>
      <c r="G40" s="29"/>
      <c r="H40" s="37"/>
      <c r="I40" s="37"/>
      <c r="J40" s="36"/>
      <c r="K40" s="37"/>
      <c r="L40" s="37"/>
      <c r="M40" s="37"/>
      <c r="N40" s="37"/>
      <c r="O40" s="47"/>
      <c r="P40" s="29"/>
      <c r="Q40" s="29"/>
    </row>
    <row r="41" s="2" customFormat="1" customHeight="1" spans="1:17">
      <c r="A41" s="29"/>
      <c r="B41" s="33"/>
      <c r="C41" s="34"/>
      <c r="D41" s="35"/>
      <c r="E41" s="35"/>
      <c r="F41" s="36"/>
      <c r="G41" s="29"/>
      <c r="H41" s="37"/>
      <c r="I41" s="37"/>
      <c r="J41" s="36"/>
      <c r="K41" s="37"/>
      <c r="L41" s="37"/>
      <c r="M41" s="37"/>
      <c r="N41" s="37"/>
      <c r="O41" s="47"/>
      <c r="P41" s="29"/>
      <c r="Q41" s="29"/>
    </row>
    <row r="42" s="2" customFormat="1" customHeight="1" spans="1:17">
      <c r="A42" s="29"/>
      <c r="B42" s="33"/>
      <c r="C42" s="34"/>
      <c r="D42" s="35"/>
      <c r="E42" s="35"/>
      <c r="F42" s="36"/>
      <c r="G42" s="29"/>
      <c r="H42" s="37"/>
      <c r="I42" s="37"/>
      <c r="J42" s="36"/>
      <c r="K42" s="37"/>
      <c r="L42" s="37"/>
      <c r="M42" s="37"/>
      <c r="N42" s="37"/>
      <c r="O42" s="47"/>
      <c r="P42" s="29"/>
      <c r="Q42" s="29"/>
    </row>
    <row r="43" s="2" customFormat="1" customHeight="1" spans="1:17">
      <c r="A43" s="29"/>
      <c r="B43" s="33"/>
      <c r="C43" s="34"/>
      <c r="D43" s="35"/>
      <c r="E43" s="35"/>
      <c r="F43" s="36"/>
      <c r="G43" s="29"/>
      <c r="H43" s="37"/>
      <c r="I43" s="37"/>
      <c r="J43" s="36"/>
      <c r="K43" s="37"/>
      <c r="L43" s="37"/>
      <c r="M43" s="37"/>
      <c r="N43" s="37"/>
      <c r="O43" s="47"/>
      <c r="P43" s="29"/>
      <c r="Q43" s="29"/>
    </row>
    <row r="44" s="2" customFormat="1" customHeight="1" spans="1:17">
      <c r="A44" s="29"/>
      <c r="B44" s="33"/>
      <c r="C44" s="34"/>
      <c r="D44" s="35"/>
      <c r="E44" s="35"/>
      <c r="F44" s="36"/>
      <c r="G44" s="29"/>
      <c r="H44" s="37"/>
      <c r="I44" s="37"/>
      <c r="J44" s="36"/>
      <c r="K44" s="37"/>
      <c r="L44" s="37"/>
      <c r="M44" s="37"/>
      <c r="N44" s="37"/>
      <c r="O44" s="47"/>
      <c r="P44" s="29"/>
      <c r="Q44" s="29"/>
    </row>
    <row r="45" s="2" customFormat="1" customHeight="1" spans="1:17">
      <c r="A45" s="29"/>
      <c r="B45" s="29"/>
      <c r="C45" s="34"/>
      <c r="D45" s="35"/>
      <c r="E45" s="37"/>
      <c r="F45" s="36"/>
      <c r="G45" s="29"/>
      <c r="H45" s="37"/>
      <c r="I45" s="37"/>
      <c r="J45" s="36"/>
      <c r="K45" s="37"/>
      <c r="L45" s="37"/>
      <c r="M45" s="37"/>
      <c r="N45" s="37"/>
      <c r="O45" s="47"/>
      <c r="P45" s="29"/>
      <c r="Q45" s="29"/>
    </row>
    <row r="46" s="2" customFormat="1" customHeight="1" spans="1:17">
      <c r="A46" s="29"/>
      <c r="B46" s="29"/>
      <c r="C46" s="34"/>
      <c r="D46" s="35"/>
      <c r="E46" s="37"/>
      <c r="F46" s="36"/>
      <c r="G46" s="29"/>
      <c r="H46" s="37"/>
      <c r="I46" s="37"/>
      <c r="J46" s="36"/>
      <c r="K46" s="37"/>
      <c r="L46" s="37"/>
      <c r="M46" s="37"/>
      <c r="N46" s="37"/>
      <c r="O46" s="47"/>
      <c r="P46" s="29"/>
      <c r="Q46" s="29"/>
    </row>
    <row r="47" s="2" customFormat="1" customHeight="1" spans="1:17">
      <c r="A47" s="29"/>
      <c r="B47" s="29"/>
      <c r="C47" s="34"/>
      <c r="D47" s="35"/>
      <c r="E47" s="37"/>
      <c r="F47" s="36"/>
      <c r="G47" s="29"/>
      <c r="H47" s="37"/>
      <c r="I47" s="37"/>
      <c r="J47" s="36"/>
      <c r="K47" s="37"/>
      <c r="L47" s="37"/>
      <c r="M47" s="37"/>
      <c r="N47" s="37"/>
      <c r="O47" s="47"/>
      <c r="P47" s="29"/>
      <c r="Q47" s="29"/>
    </row>
    <row r="48" s="2" customFormat="1" customHeight="1" spans="1:17">
      <c r="A48" s="29"/>
      <c r="B48" s="29"/>
      <c r="C48" s="34"/>
      <c r="D48" s="35"/>
      <c r="E48" s="37"/>
      <c r="F48" s="36"/>
      <c r="G48" s="29"/>
      <c r="H48" s="37"/>
      <c r="I48" s="37"/>
      <c r="J48" s="36"/>
      <c r="K48" s="37"/>
      <c r="L48" s="37"/>
      <c r="M48" s="37"/>
      <c r="N48" s="37"/>
      <c r="O48" s="47"/>
      <c r="P48" s="29"/>
      <c r="Q48" s="29"/>
    </row>
    <row r="49" s="2" customFormat="1" customHeight="1" spans="1:17">
      <c r="A49" s="29"/>
      <c r="B49" s="29"/>
      <c r="C49" s="34"/>
      <c r="D49" s="35"/>
      <c r="E49" s="37"/>
      <c r="F49" s="36"/>
      <c r="G49" s="29"/>
      <c r="H49" s="37"/>
      <c r="I49" s="37"/>
      <c r="J49" s="36"/>
      <c r="K49" s="37"/>
      <c r="L49" s="37"/>
      <c r="M49" s="37"/>
      <c r="N49" s="37"/>
      <c r="O49" s="47"/>
      <c r="P49" s="29"/>
      <c r="Q49" s="29"/>
    </row>
    <row r="50" s="2" customFormat="1" customHeight="1" spans="1:17">
      <c r="A50" s="29"/>
      <c r="B50" s="29"/>
      <c r="C50" s="34"/>
      <c r="D50" s="35"/>
      <c r="E50" s="37"/>
      <c r="F50" s="36"/>
      <c r="G50" s="29"/>
      <c r="H50" s="37"/>
      <c r="I50" s="37"/>
      <c r="J50" s="36"/>
      <c r="K50" s="37"/>
      <c r="L50" s="37"/>
      <c r="M50" s="37"/>
      <c r="N50" s="37"/>
      <c r="O50" s="47"/>
      <c r="P50" s="29"/>
      <c r="Q50" s="29"/>
    </row>
    <row r="51" s="2" customFormat="1" customHeight="1" spans="1:17">
      <c r="A51" s="29"/>
      <c r="B51" s="29"/>
      <c r="C51" s="34"/>
      <c r="D51" s="35"/>
      <c r="E51" s="37"/>
      <c r="F51" s="36"/>
      <c r="G51" s="29"/>
      <c r="H51" s="37"/>
      <c r="I51" s="37"/>
      <c r="J51" s="36"/>
      <c r="K51" s="37"/>
      <c r="L51" s="37"/>
      <c r="M51" s="37"/>
      <c r="N51" s="37"/>
      <c r="O51" s="47"/>
      <c r="P51" s="29"/>
      <c r="Q51" s="29"/>
    </row>
    <row r="52" s="2" customFormat="1" customHeight="1" spans="1:17">
      <c r="A52" s="29"/>
      <c r="B52" s="29"/>
      <c r="C52" s="34"/>
      <c r="D52" s="35"/>
      <c r="E52" s="37"/>
      <c r="F52" s="36"/>
      <c r="G52" s="29"/>
      <c r="H52" s="37"/>
      <c r="I52" s="37"/>
      <c r="J52" s="36"/>
      <c r="K52" s="37"/>
      <c r="L52" s="37"/>
      <c r="M52" s="37"/>
      <c r="N52" s="37"/>
      <c r="O52" s="47"/>
      <c r="P52" s="29"/>
      <c r="Q52" s="29"/>
    </row>
    <row r="53" s="2" customFormat="1" customHeight="1" spans="1:17">
      <c r="A53" s="29"/>
      <c r="B53" s="29"/>
      <c r="C53" s="34"/>
      <c r="D53" s="35"/>
      <c r="E53" s="37"/>
      <c r="F53" s="36"/>
      <c r="G53" s="29"/>
      <c r="H53" s="37"/>
      <c r="I53" s="37"/>
      <c r="J53" s="36"/>
      <c r="K53" s="37"/>
      <c r="L53" s="37"/>
      <c r="M53" s="37"/>
      <c r="N53" s="37"/>
      <c r="O53" s="47"/>
      <c r="P53" s="29"/>
      <c r="Q53" s="29"/>
    </row>
    <row r="54" s="2" customFormat="1" customHeight="1" spans="1:17">
      <c r="A54" s="29"/>
      <c r="B54" s="29"/>
      <c r="C54" s="29"/>
      <c r="D54" s="35"/>
      <c r="E54" s="37"/>
      <c r="F54" s="36"/>
      <c r="G54" s="29"/>
      <c r="H54" s="37"/>
      <c r="I54" s="37"/>
      <c r="J54" s="36"/>
      <c r="K54" s="37"/>
      <c r="L54" s="37"/>
      <c r="M54" s="37"/>
      <c r="N54" s="37"/>
      <c r="O54" s="47"/>
      <c r="P54" s="29"/>
      <c r="Q54" s="29"/>
    </row>
    <row r="55" s="2" customFormat="1" customHeight="1" spans="1:17">
      <c r="A55" s="29"/>
      <c r="B55" s="29"/>
      <c r="C55" s="34"/>
      <c r="D55" s="35"/>
      <c r="E55" s="37"/>
      <c r="F55" s="36"/>
      <c r="G55" s="29"/>
      <c r="H55" s="37"/>
      <c r="I55" s="37"/>
      <c r="J55" s="36"/>
      <c r="K55" s="37"/>
      <c r="L55" s="37"/>
      <c r="M55" s="37"/>
      <c r="N55" s="37"/>
      <c r="O55" s="47"/>
      <c r="P55" s="29"/>
      <c r="Q55" s="29"/>
    </row>
    <row r="56" s="2" customFormat="1" customHeight="1" spans="1:17">
      <c r="A56" s="29"/>
      <c r="B56" s="29"/>
      <c r="C56" s="34"/>
      <c r="D56" s="35"/>
      <c r="E56" s="37"/>
      <c r="F56" s="36"/>
      <c r="G56" s="29"/>
      <c r="H56" s="37"/>
      <c r="I56" s="37"/>
      <c r="J56" s="36"/>
      <c r="K56" s="37"/>
      <c r="L56" s="37"/>
      <c r="M56" s="37"/>
      <c r="N56" s="37"/>
      <c r="O56" s="47"/>
      <c r="P56" s="29"/>
      <c r="Q56" s="29"/>
    </row>
    <row r="57" s="2" customFormat="1" customHeight="1" spans="1:17">
      <c r="A57" s="29"/>
      <c r="B57" s="29"/>
      <c r="C57" s="34"/>
      <c r="D57" s="35"/>
      <c r="E57" s="37"/>
      <c r="F57" s="36"/>
      <c r="G57" s="29"/>
      <c r="H57" s="37"/>
      <c r="I57" s="37"/>
      <c r="J57" s="36"/>
      <c r="K57" s="37"/>
      <c r="L57" s="37"/>
      <c r="M57" s="37"/>
      <c r="N57" s="37"/>
      <c r="O57" s="47"/>
      <c r="P57" s="29"/>
      <c r="Q57" s="29"/>
    </row>
    <row r="58" s="2" customFormat="1" customHeight="1" spans="1:17">
      <c r="A58" s="29"/>
      <c r="B58" s="29"/>
      <c r="C58" s="34"/>
      <c r="D58" s="35"/>
      <c r="E58" s="37"/>
      <c r="F58" s="36"/>
      <c r="G58" s="29"/>
      <c r="H58" s="37"/>
      <c r="I58" s="37"/>
      <c r="J58" s="36"/>
      <c r="K58" s="37"/>
      <c r="L58" s="37"/>
      <c r="M58" s="37"/>
      <c r="N58" s="37"/>
      <c r="O58" s="47"/>
      <c r="P58" s="29"/>
      <c r="Q58" s="29"/>
    </row>
    <row r="59" s="2" customFormat="1" customHeight="1" spans="1:17">
      <c r="A59" s="29"/>
      <c r="B59" s="29"/>
      <c r="C59" s="34"/>
      <c r="D59" s="76"/>
      <c r="E59" s="115"/>
      <c r="F59" s="36"/>
      <c r="G59" s="29"/>
      <c r="H59" s="37"/>
      <c r="I59" s="37"/>
      <c r="J59" s="36"/>
      <c r="K59" s="37"/>
      <c r="L59" s="37"/>
      <c r="M59" s="37"/>
      <c r="N59" s="37"/>
      <c r="O59" s="47"/>
      <c r="P59" s="29"/>
      <c r="Q59" s="29"/>
    </row>
    <row r="60" s="2" customFormat="1" customHeight="1" spans="1:17">
      <c r="A60" s="29"/>
      <c r="B60" s="29"/>
      <c r="C60" s="34"/>
      <c r="D60" s="35"/>
      <c r="E60" s="115"/>
      <c r="F60" s="36"/>
      <c r="G60" s="29"/>
      <c r="H60" s="37"/>
      <c r="I60" s="37"/>
      <c r="J60" s="36"/>
      <c r="K60" s="37"/>
      <c r="L60" s="37"/>
      <c r="M60" s="37"/>
      <c r="N60" s="37"/>
      <c r="O60" s="47"/>
      <c r="P60" s="29"/>
      <c r="Q60" s="29"/>
    </row>
    <row r="61" s="2" customFormat="1" customHeight="1" spans="1:17">
      <c r="A61" s="29"/>
      <c r="B61" s="29"/>
      <c r="C61" s="34"/>
      <c r="D61" s="35"/>
      <c r="E61" s="29"/>
      <c r="F61" s="36"/>
      <c r="G61" s="29"/>
      <c r="H61" s="37"/>
      <c r="I61" s="37"/>
      <c r="J61" s="36"/>
      <c r="K61" s="37"/>
      <c r="L61" s="37"/>
      <c r="M61" s="37"/>
      <c r="N61" s="37"/>
      <c r="O61" s="47"/>
      <c r="P61" s="29"/>
      <c r="Q61" s="29"/>
    </row>
    <row r="62" s="2" customFormat="1" customHeight="1" spans="1:17">
      <c r="A62" s="29"/>
      <c r="B62" s="29"/>
      <c r="C62" s="34"/>
      <c r="D62" s="35"/>
      <c r="E62" s="37"/>
      <c r="F62" s="36"/>
      <c r="G62" s="29"/>
      <c r="H62" s="37"/>
      <c r="I62" s="37"/>
      <c r="J62" s="36"/>
      <c r="K62" s="37"/>
      <c r="L62" s="37"/>
      <c r="M62" s="37"/>
      <c r="N62" s="37"/>
      <c r="O62" s="47"/>
      <c r="P62" s="29"/>
      <c r="Q62" s="29"/>
    </row>
    <row r="63" s="2" customFormat="1" customHeight="1" spans="1:17">
      <c r="A63" s="29"/>
      <c r="B63" s="29"/>
      <c r="C63" s="34"/>
      <c r="D63" s="35"/>
      <c r="E63" s="37"/>
      <c r="F63" s="36"/>
      <c r="G63" s="29"/>
      <c r="H63" s="37"/>
      <c r="I63" s="37"/>
      <c r="J63" s="36"/>
      <c r="K63" s="37"/>
      <c r="L63" s="37"/>
      <c r="M63" s="37"/>
      <c r="N63" s="37"/>
      <c r="O63" s="47"/>
      <c r="P63" s="29"/>
      <c r="Q63" s="29"/>
    </row>
    <row r="64" s="2" customFormat="1" customHeight="1" spans="1:17">
      <c r="A64" s="29"/>
      <c r="B64" s="29"/>
      <c r="C64" s="34"/>
      <c r="D64" s="35"/>
      <c r="E64" s="37"/>
      <c r="F64" s="36"/>
      <c r="G64" s="29"/>
      <c r="H64" s="37"/>
      <c r="I64" s="37"/>
      <c r="J64" s="36"/>
      <c r="K64" s="37"/>
      <c r="L64" s="37"/>
      <c r="M64" s="37"/>
      <c r="N64" s="37"/>
      <c r="O64" s="47"/>
      <c r="P64" s="29"/>
      <c r="Q64" s="29"/>
    </row>
    <row r="65" s="2" customFormat="1" customHeight="1" spans="1:17">
      <c r="A65" s="29"/>
      <c r="B65" s="29"/>
      <c r="C65" s="34"/>
      <c r="D65" s="35"/>
      <c r="E65" s="37"/>
      <c r="F65" s="36"/>
      <c r="G65" s="29"/>
      <c r="H65" s="37"/>
      <c r="I65" s="37"/>
      <c r="J65" s="36"/>
      <c r="K65" s="37"/>
      <c r="L65" s="37"/>
      <c r="M65" s="37"/>
      <c r="N65" s="37"/>
      <c r="O65" s="47"/>
      <c r="P65" s="29"/>
      <c r="Q65" s="29"/>
    </row>
    <row r="66" s="2" customFormat="1" customHeight="1" spans="1:17">
      <c r="A66" s="29"/>
      <c r="B66" s="29"/>
      <c r="C66" s="34"/>
      <c r="D66" s="35"/>
      <c r="E66" s="37"/>
      <c r="F66" s="36"/>
      <c r="G66" s="29"/>
      <c r="H66" s="37"/>
      <c r="I66" s="37"/>
      <c r="J66" s="36"/>
      <c r="K66" s="37"/>
      <c r="L66" s="37"/>
      <c r="M66" s="37"/>
      <c r="N66" s="37"/>
      <c r="O66" s="47"/>
      <c r="P66" s="29"/>
      <c r="Q66" s="29"/>
    </row>
    <row r="67" s="2" customFormat="1" customHeight="1" spans="1:17">
      <c r="A67" s="29"/>
      <c r="B67" s="33"/>
      <c r="C67" s="34"/>
      <c r="D67" s="35"/>
      <c r="E67" s="35"/>
      <c r="F67" s="36"/>
      <c r="G67" s="29"/>
      <c r="H67" s="37"/>
      <c r="I67" s="37"/>
      <c r="J67" s="36"/>
      <c r="K67" s="37"/>
      <c r="L67" s="37"/>
      <c r="M67" s="37"/>
      <c r="N67" s="37"/>
      <c r="O67" s="47"/>
      <c r="P67" s="29"/>
      <c r="Q67" s="29"/>
    </row>
    <row r="68" s="2" customFormat="1" customHeight="1" spans="1:17">
      <c r="A68" s="29"/>
      <c r="B68" s="33"/>
      <c r="C68" s="34"/>
      <c r="D68" s="35"/>
      <c r="E68" s="35"/>
      <c r="F68" s="36"/>
      <c r="G68" s="36"/>
      <c r="H68" s="37"/>
      <c r="I68" s="37"/>
      <c r="J68" s="36"/>
      <c r="K68" s="37"/>
      <c r="L68" s="37"/>
      <c r="M68" s="37"/>
      <c r="N68" s="37"/>
      <c r="O68" s="47"/>
      <c r="P68" s="29"/>
      <c r="Q68" s="29"/>
    </row>
    <row r="69" s="2" customFormat="1" customHeight="1" spans="1:17">
      <c r="A69" s="29"/>
      <c r="B69" s="33"/>
      <c r="C69" s="34"/>
      <c r="D69" s="35"/>
      <c r="E69" s="35"/>
      <c r="F69" s="36"/>
      <c r="G69" s="29"/>
      <c r="H69" s="37"/>
      <c r="I69" s="37"/>
      <c r="J69" s="36"/>
      <c r="K69" s="37"/>
      <c r="L69" s="37"/>
      <c r="M69" s="37"/>
      <c r="N69" s="37"/>
      <c r="O69" s="47"/>
      <c r="P69" s="29"/>
      <c r="Q69" s="29"/>
    </row>
    <row r="70" s="2" customFormat="1" customHeight="1" spans="1:17">
      <c r="A70" s="29"/>
      <c r="B70" s="29"/>
      <c r="C70" s="29"/>
      <c r="D70" s="35"/>
      <c r="E70" s="35"/>
      <c r="F70" s="36"/>
      <c r="G70" s="29"/>
      <c r="H70" s="37"/>
      <c r="I70" s="37"/>
      <c r="J70" s="36"/>
      <c r="K70" s="37"/>
      <c r="L70" s="37"/>
      <c r="M70" s="37"/>
      <c r="N70" s="37"/>
      <c r="O70" s="47"/>
      <c r="P70" s="29"/>
      <c r="Q70" s="29"/>
    </row>
    <row r="71" s="2" customFormat="1" customHeight="1" spans="1:17">
      <c r="A71" s="29"/>
      <c r="B71" s="29"/>
      <c r="C71" s="29"/>
      <c r="D71" s="35"/>
      <c r="E71" s="35"/>
      <c r="F71" s="36"/>
      <c r="G71" s="29"/>
      <c r="H71" s="37"/>
      <c r="I71" s="37"/>
      <c r="J71" s="36"/>
      <c r="K71" s="37"/>
      <c r="L71" s="37"/>
      <c r="M71" s="37"/>
      <c r="N71" s="37"/>
      <c r="O71" s="47"/>
      <c r="P71" s="29"/>
      <c r="Q71" s="29"/>
    </row>
    <row r="72" s="2" customFormat="1" customHeight="1" spans="1:17">
      <c r="A72" s="29"/>
      <c r="B72" s="29"/>
      <c r="C72" s="34"/>
      <c r="D72" s="35"/>
      <c r="E72" s="35"/>
      <c r="F72" s="36"/>
      <c r="G72" s="29"/>
      <c r="H72" s="37"/>
      <c r="I72" s="37"/>
      <c r="J72" s="36"/>
      <c r="K72" s="37"/>
      <c r="L72" s="37"/>
      <c r="M72" s="37"/>
      <c r="N72" s="37"/>
      <c r="O72" s="47"/>
      <c r="P72" s="29"/>
      <c r="Q72" s="29"/>
    </row>
    <row r="73" s="2" customFormat="1" customHeight="1" spans="1:17">
      <c r="A73" s="29"/>
      <c r="B73" s="29"/>
      <c r="C73" s="34"/>
      <c r="D73" s="35"/>
      <c r="E73" s="35"/>
      <c r="F73" s="36"/>
      <c r="G73" s="29"/>
      <c r="H73" s="37"/>
      <c r="I73" s="37"/>
      <c r="J73" s="36"/>
      <c r="K73" s="37"/>
      <c r="L73" s="37"/>
      <c r="M73" s="37"/>
      <c r="N73" s="37"/>
      <c r="O73" s="47"/>
      <c r="P73" s="29"/>
      <c r="Q73" s="29"/>
    </row>
    <row r="74" s="2" customFormat="1" customHeight="1" spans="1:17">
      <c r="A74" s="29"/>
      <c r="B74" s="29"/>
      <c r="C74" s="34"/>
      <c r="D74" s="35"/>
      <c r="E74" s="35"/>
      <c r="F74" s="36"/>
      <c r="G74" s="29"/>
      <c r="H74" s="37"/>
      <c r="I74" s="37"/>
      <c r="J74" s="36"/>
      <c r="K74" s="37"/>
      <c r="L74" s="37"/>
      <c r="M74" s="37"/>
      <c r="N74" s="37"/>
      <c r="O74" s="47"/>
      <c r="P74" s="29"/>
      <c r="Q74" s="29"/>
    </row>
    <row r="75" s="2" customFormat="1" customHeight="1" spans="1:17">
      <c r="A75" s="29"/>
      <c r="B75" s="29"/>
      <c r="C75" s="29"/>
      <c r="D75" s="35"/>
      <c r="E75" s="35"/>
      <c r="F75" s="36"/>
      <c r="G75" s="29"/>
      <c r="H75" s="37"/>
      <c r="I75" s="37"/>
      <c r="J75" s="36"/>
      <c r="K75" s="37"/>
      <c r="L75" s="37"/>
      <c r="M75" s="37"/>
      <c r="N75" s="37"/>
      <c r="O75" s="47"/>
      <c r="P75" s="29"/>
      <c r="Q75" s="29"/>
    </row>
    <row r="76" s="2" customFormat="1" customHeight="1" spans="1:17">
      <c r="A76" s="29"/>
      <c r="B76" s="29"/>
      <c r="C76" s="29"/>
      <c r="D76" s="35"/>
      <c r="E76" s="35"/>
      <c r="F76" s="36"/>
      <c r="G76" s="29"/>
      <c r="H76" s="37"/>
      <c r="I76" s="37"/>
      <c r="J76" s="36"/>
      <c r="K76" s="37"/>
      <c r="L76" s="37"/>
      <c r="M76" s="37"/>
      <c r="N76" s="37"/>
      <c r="O76" s="47"/>
      <c r="P76" s="29"/>
      <c r="Q76" s="29"/>
    </row>
    <row r="77" s="2" customFormat="1" customHeight="1" spans="1:17">
      <c r="A77" s="29"/>
      <c r="B77" s="29"/>
      <c r="C77" s="29"/>
      <c r="D77" s="35"/>
      <c r="E77" s="35"/>
      <c r="F77" s="37"/>
      <c r="G77" s="37"/>
      <c r="H77" s="29"/>
      <c r="I77" s="37"/>
      <c r="J77" s="36"/>
      <c r="K77" s="29"/>
      <c r="L77" s="37"/>
      <c r="M77" s="37"/>
      <c r="N77" s="37"/>
      <c r="O77" s="47"/>
      <c r="P77" s="29"/>
      <c r="Q77" s="29"/>
    </row>
    <row r="78" s="2" customFormat="1" customHeight="1" spans="1:17">
      <c r="A78" s="29"/>
      <c r="B78" s="29"/>
      <c r="C78" s="34"/>
      <c r="D78" s="35"/>
      <c r="E78" s="29"/>
      <c r="F78" s="36"/>
      <c r="G78" s="29"/>
      <c r="H78" s="37"/>
      <c r="I78" s="37"/>
      <c r="J78" s="36"/>
      <c r="K78" s="37"/>
      <c r="L78" s="37"/>
      <c r="M78" s="37"/>
      <c r="N78" s="37"/>
      <c r="O78" s="47"/>
      <c r="P78" s="29"/>
      <c r="Q78" s="29"/>
    </row>
    <row r="79" s="2" customFormat="1" customHeight="1" spans="1:17">
      <c r="A79" s="29"/>
      <c r="B79" s="29"/>
      <c r="C79" s="34"/>
      <c r="D79" s="35"/>
      <c r="E79" s="29"/>
      <c r="F79" s="36"/>
      <c r="G79" s="29"/>
      <c r="H79" s="37"/>
      <c r="I79" s="37"/>
      <c r="J79" s="36"/>
      <c r="K79" s="37"/>
      <c r="L79" s="37"/>
      <c r="M79" s="37"/>
      <c r="N79" s="37"/>
      <c r="O79" s="47"/>
      <c r="P79" s="29"/>
      <c r="Q79" s="29"/>
    </row>
    <row r="80" s="2" customFormat="1" customHeight="1" spans="1:17">
      <c r="A80" s="29"/>
      <c r="B80" s="29"/>
      <c r="C80" s="34"/>
      <c r="D80" s="35"/>
      <c r="E80" s="29"/>
      <c r="F80" s="36"/>
      <c r="G80" s="29"/>
      <c r="H80" s="37"/>
      <c r="I80" s="37"/>
      <c r="J80" s="36"/>
      <c r="K80" s="37"/>
      <c r="L80" s="37"/>
      <c r="M80" s="37"/>
      <c r="N80" s="37"/>
      <c r="O80" s="47"/>
      <c r="P80" s="29"/>
      <c r="Q80" s="29"/>
    </row>
    <row r="81" s="2" customFormat="1" customHeight="1" spans="3:15">
      <c r="C81" s="34"/>
      <c r="D81" s="116"/>
      <c r="E81" s="2"/>
      <c r="F81" s="117"/>
      <c r="G81" s="2"/>
      <c r="H81" s="118"/>
      <c r="I81" s="118"/>
      <c r="J81" s="117"/>
      <c r="K81" s="118"/>
      <c r="L81" s="118"/>
      <c r="M81" s="118"/>
      <c r="N81" s="118"/>
      <c r="O81" s="119"/>
    </row>
    <row r="82" s="2" customFormat="1" customHeight="1" spans="3:15">
      <c r="C82" s="34"/>
      <c r="D82" s="116"/>
      <c r="E82" s="2"/>
      <c r="F82" s="117"/>
      <c r="G82" s="2"/>
      <c r="H82" s="118"/>
      <c r="I82" s="118"/>
      <c r="J82" s="117"/>
      <c r="K82" s="118"/>
      <c r="L82" s="118"/>
      <c r="M82" s="118"/>
      <c r="N82" s="118"/>
      <c r="O82" s="119"/>
    </row>
    <row r="83" s="2" customFormat="1" customHeight="1" spans="3:15">
      <c r="C83" s="34"/>
      <c r="D83" s="116"/>
      <c r="E83" s="2"/>
      <c r="F83" s="117"/>
      <c r="G83" s="2"/>
      <c r="H83" s="118"/>
      <c r="I83" s="118"/>
      <c r="J83" s="117"/>
      <c r="K83" s="118"/>
      <c r="L83" s="118"/>
      <c r="M83" s="118"/>
      <c r="N83" s="118"/>
      <c r="O83" s="119"/>
    </row>
  </sheetData>
  <autoFilter xmlns:etc="http://www.wps.cn/officeDocument/2017/etCustomData" ref="B2:C77" etc:filterBottomFollowUsedRange="0">
    <extLst/>
  </autoFilter>
  <mergeCells count="3">
    <mergeCell ref="A1:J1"/>
    <mergeCell ref="F68:G68"/>
    <mergeCell ref="F77:G77"/>
  </mergeCells>
  <pageMargins left="0.7" right="0.7" top="0.75" bottom="0.75" header="0.3" footer="0.3"/>
  <pageSetup paperSize="9" scale="75" orientation="portrait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25"/>
  <sheetData/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25"/>
  <sheetData/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D53"/>
  <sheetViews>
    <sheetView workbookViewId="0">
      <pane xSplit="3" ySplit="2" topLeftCell="D42" activePane="bottomRight" state="frozen"/>
      <selection/>
      <selection pane="topRight"/>
      <selection pane="bottomLeft"/>
      <selection pane="bottomRight" activeCell="K53" sqref="K53"/>
    </sheetView>
  </sheetViews>
  <sheetFormatPr defaultColWidth="9.06666666666667" defaultRowHeight="54" customHeight="1"/>
  <cols>
    <col min="1" max="1" width="8.125" style="3" hidden="1" customWidth="1"/>
    <col min="2" max="2" width="10.5" style="3" customWidth="1"/>
    <col min="3" max="3" width="26.5" style="65" customWidth="1"/>
    <col min="4" max="4" width="12.1333333333333" style="66" customWidth="1"/>
    <col min="5" max="5" width="8.75" style="3" customWidth="1"/>
    <col min="6" max="6" width="6.5" style="6" customWidth="1"/>
    <col min="7" max="7" width="6.5" style="3" customWidth="1"/>
    <col min="8" max="8" width="11.875" style="7" customWidth="1"/>
    <col min="9" max="9" width="8.75" style="7" customWidth="1"/>
    <col min="10" max="10" width="14.125" style="6" customWidth="1"/>
    <col min="11" max="11" width="10.375" style="5" customWidth="1"/>
    <col min="12" max="12" width="9.875" style="7" customWidth="1"/>
    <col min="13" max="13" width="10.375" style="7" customWidth="1"/>
    <col min="14" max="14" width="11.9333333333333" style="7" customWidth="1"/>
    <col min="15" max="15" width="18.5" style="67" customWidth="1"/>
    <col min="16" max="16384" width="9.06666666666667" style="3"/>
  </cols>
  <sheetData>
    <row r="1" customHeight="1" spans="1:16">
      <c r="A1" s="68" t="s">
        <v>74</v>
      </c>
      <c r="B1" s="68"/>
      <c r="C1" s="68"/>
      <c r="D1" s="68"/>
      <c r="E1" s="68"/>
      <c r="F1" s="68"/>
      <c r="G1" s="68"/>
      <c r="H1" s="70"/>
      <c r="I1" s="68"/>
      <c r="J1" s="68"/>
    </row>
    <row r="2" s="1" customFormat="1" ht="35.65" customHeight="1" spans="1:16">
      <c r="A2" s="14" t="s">
        <v>1</v>
      </c>
      <c r="B2" s="14" t="s">
        <v>2</v>
      </c>
      <c r="C2" s="71" t="s">
        <v>3</v>
      </c>
      <c r="D2" s="72" t="s">
        <v>4</v>
      </c>
      <c r="E2" s="17" t="s">
        <v>5</v>
      </c>
      <c r="F2" s="17" t="s">
        <v>6</v>
      </c>
      <c r="G2" s="14" t="s">
        <v>7</v>
      </c>
      <c r="H2" s="18" t="s">
        <v>8</v>
      </c>
      <c r="I2" s="18" t="s">
        <v>9</v>
      </c>
      <c r="J2" s="17" t="s">
        <v>10</v>
      </c>
      <c r="K2" s="16" t="s">
        <v>11</v>
      </c>
      <c r="L2" s="18" t="s">
        <v>12</v>
      </c>
      <c r="M2" s="18" t="s">
        <v>13</v>
      </c>
      <c r="N2" s="18" t="s">
        <v>14</v>
      </c>
      <c r="O2" s="73" t="s">
        <v>15</v>
      </c>
    </row>
    <row r="3" s="64" customFormat="1" customHeight="1" spans="1:16">
      <c r="A3" s="21"/>
      <c r="B3" s="21"/>
      <c r="C3" s="22" t="s">
        <v>75</v>
      </c>
      <c r="D3" s="25">
        <f t="shared" ref="D3:D43" si="0">H3/F3</f>
        <v>0.2646</v>
      </c>
      <c r="E3" s="23">
        <v>0.5</v>
      </c>
      <c r="F3" s="24">
        <v>50</v>
      </c>
      <c r="G3" s="21" t="s">
        <v>76</v>
      </c>
      <c r="H3" s="25">
        <v>13.23</v>
      </c>
      <c r="I3" s="23">
        <f t="shared" ref="I3:I9" si="1">E3*F3</f>
        <v>25</v>
      </c>
      <c r="J3" s="24"/>
      <c r="K3" s="23">
        <f>I3-H3</f>
        <v>11.77</v>
      </c>
      <c r="L3" s="25">
        <f>-H3</f>
        <v>-13.23</v>
      </c>
      <c r="M3" s="87">
        <v>6469.572509434</v>
      </c>
      <c r="N3" s="25">
        <f>L3+M3</f>
        <v>6456.342509434</v>
      </c>
      <c r="O3" s="74"/>
    </row>
    <row r="4" s="64" customFormat="1" customHeight="1" spans="1:16">
      <c r="A4" s="21"/>
      <c r="B4" s="21"/>
      <c r="C4" s="22" t="s">
        <v>77</v>
      </c>
      <c r="D4" s="23">
        <f t="shared" si="0"/>
        <v>6.07</v>
      </c>
      <c r="E4" s="23">
        <v>7.5</v>
      </c>
      <c r="F4" s="24">
        <v>3</v>
      </c>
      <c r="G4" s="21" t="s">
        <v>52</v>
      </c>
      <c r="H4" s="25">
        <v>18.21</v>
      </c>
      <c r="I4" s="23">
        <f t="shared" si="1"/>
        <v>22.5</v>
      </c>
      <c r="J4" s="24"/>
      <c r="K4" s="23">
        <f>I4-H4</f>
        <v>4.29</v>
      </c>
      <c r="L4" s="25">
        <f>-H4</f>
        <v>-18.21</v>
      </c>
      <c r="M4" s="25"/>
      <c r="N4" s="25">
        <f>N3+L4+M4</f>
        <v>6438.132509434</v>
      </c>
      <c r="O4" s="74"/>
    </row>
    <row r="5" s="64" customFormat="1" customHeight="1" spans="1:16">
      <c r="A5" s="21"/>
      <c r="B5" s="21"/>
      <c r="C5" s="4" t="s">
        <v>78</v>
      </c>
      <c r="D5" s="23">
        <f t="shared" si="0"/>
        <v>5.93</v>
      </c>
      <c r="E5" s="23">
        <v>8</v>
      </c>
      <c r="F5" s="24">
        <v>2</v>
      </c>
      <c r="G5" s="21" t="s">
        <v>55</v>
      </c>
      <c r="H5" s="23">
        <v>11.86</v>
      </c>
      <c r="I5" s="45">
        <f t="shared" si="1"/>
        <v>16</v>
      </c>
      <c r="J5" s="24"/>
      <c r="K5" s="23">
        <f>I5-H5</f>
        <v>4.14</v>
      </c>
      <c r="L5" s="25">
        <f t="shared" ref="L5:L51" si="2">-H5</f>
        <v>-11.86</v>
      </c>
      <c r="M5" s="25"/>
      <c r="N5" s="25">
        <f>N4+L5+M5</f>
        <v>6426.272509434</v>
      </c>
      <c r="O5" s="74"/>
    </row>
    <row r="6" s="29" customFormat="1" customHeight="1" spans="1:16">
      <c r="A6" s="21"/>
      <c r="B6" s="21"/>
      <c r="C6" s="22" t="s">
        <v>79</v>
      </c>
      <c r="D6" s="23">
        <f t="shared" si="0"/>
        <v>4.325</v>
      </c>
      <c r="E6" s="23">
        <v>5.5</v>
      </c>
      <c r="F6" s="24">
        <v>4</v>
      </c>
      <c r="G6" s="21" t="s">
        <v>52</v>
      </c>
      <c r="H6" s="25">
        <v>17.3</v>
      </c>
      <c r="I6" s="23">
        <f t="shared" si="1"/>
        <v>22</v>
      </c>
      <c r="J6" s="24"/>
      <c r="K6" s="23">
        <f>I6-H6</f>
        <v>4.7</v>
      </c>
      <c r="L6" s="25">
        <f t="shared" si="2"/>
        <v>-17.3</v>
      </c>
      <c r="M6" s="25"/>
      <c r="N6" s="25">
        <f t="shared" ref="N6:N51" si="3">N5+L6+M6</f>
        <v>6408.972509434</v>
      </c>
      <c r="O6" s="74"/>
    </row>
    <row r="7" s="29" customFormat="1" customHeight="1" spans="1:16">
      <c r="A7" s="21"/>
      <c r="B7" s="21"/>
      <c r="C7" s="22" t="s">
        <v>80</v>
      </c>
      <c r="D7" s="31">
        <f t="shared" si="0"/>
        <v>3.004</v>
      </c>
      <c r="E7" s="21">
        <v>3.5</v>
      </c>
      <c r="F7" s="24">
        <v>30</v>
      </c>
      <c r="G7" s="21" t="s">
        <v>55</v>
      </c>
      <c r="H7" s="25">
        <f>30.04*3</f>
        <v>90.12</v>
      </c>
      <c r="I7" s="25">
        <f t="shared" si="1"/>
        <v>105</v>
      </c>
      <c r="J7" s="24"/>
      <c r="K7" s="23">
        <f>I7-H7</f>
        <v>14.88</v>
      </c>
      <c r="L7" s="25">
        <f t="shared" si="2"/>
        <v>-90.12</v>
      </c>
      <c r="M7" s="25"/>
      <c r="N7" s="25">
        <f t="shared" si="3"/>
        <v>6318.852509434</v>
      </c>
      <c r="O7" s="22"/>
      <c r="P7" s="89"/>
    </row>
    <row r="8" s="29" customFormat="1" customHeight="1" spans="1:16">
      <c r="A8" s="21"/>
      <c r="B8" s="21"/>
      <c r="C8" s="22" t="s">
        <v>81</v>
      </c>
      <c r="D8" s="31">
        <f t="shared" si="0"/>
        <v>3.3783</v>
      </c>
      <c r="E8" s="31">
        <v>3.8</v>
      </c>
      <c r="F8" s="24">
        <v>200</v>
      </c>
      <c r="G8" s="21" t="s">
        <v>55</v>
      </c>
      <c r="H8" s="25">
        <v>675.66</v>
      </c>
      <c r="I8" s="25">
        <f t="shared" si="1"/>
        <v>760</v>
      </c>
      <c r="J8" s="24"/>
      <c r="K8" s="23">
        <f t="shared" ref="K8:K51" si="4">I8-H8</f>
        <v>84.34</v>
      </c>
      <c r="L8" s="25">
        <f t="shared" si="2"/>
        <v>-675.66</v>
      </c>
      <c r="M8" s="25"/>
      <c r="N8" s="25">
        <f t="shared" si="3"/>
        <v>5643.192509434</v>
      </c>
      <c r="O8" s="74"/>
      <c r="P8" s="89"/>
    </row>
    <row r="9" s="29" customFormat="1" customHeight="1" spans="1:16">
      <c r="A9" s="21"/>
      <c r="B9" s="30"/>
      <c r="C9" s="22" t="s">
        <v>82</v>
      </c>
      <c r="D9" s="31">
        <f t="shared" si="0"/>
        <v>0.05044</v>
      </c>
      <c r="E9" s="23">
        <v>0.08</v>
      </c>
      <c r="F9" s="24">
        <v>1000</v>
      </c>
      <c r="G9" s="21" t="s">
        <v>83</v>
      </c>
      <c r="H9" s="25">
        <v>50.44</v>
      </c>
      <c r="I9" s="23">
        <f t="shared" si="1"/>
        <v>80</v>
      </c>
      <c r="J9" s="24"/>
      <c r="K9" s="23">
        <f t="shared" si="4"/>
        <v>29.56</v>
      </c>
      <c r="L9" s="25">
        <f t="shared" si="2"/>
        <v>-50.44</v>
      </c>
      <c r="M9" s="25"/>
      <c r="N9" s="25">
        <f t="shared" si="3"/>
        <v>5592.752509434</v>
      </c>
      <c r="O9" s="74"/>
    </row>
    <row r="10" s="29" customFormat="1" customHeight="1" spans="1:16">
      <c r="A10" s="21"/>
      <c r="B10" s="30"/>
      <c r="C10" s="22" t="s">
        <v>84</v>
      </c>
      <c r="D10" s="31">
        <f t="shared" si="0"/>
        <v>12.593</v>
      </c>
      <c r="E10" s="23">
        <v>14.5</v>
      </c>
      <c r="F10" s="24">
        <v>20</v>
      </c>
      <c r="G10" s="21" t="s">
        <v>85</v>
      </c>
      <c r="H10" s="25">
        <v>251.86</v>
      </c>
      <c r="I10" s="25">
        <f t="shared" ref="I10:I19" si="5">E10*F10</f>
        <v>290</v>
      </c>
      <c r="J10" s="24"/>
      <c r="K10" s="23">
        <f t="shared" si="4"/>
        <v>38.14</v>
      </c>
      <c r="L10" s="25">
        <f t="shared" si="2"/>
        <v>-251.86</v>
      </c>
      <c r="M10" s="25"/>
      <c r="N10" s="25">
        <f t="shared" si="3"/>
        <v>5340.892509434</v>
      </c>
      <c r="O10" s="74"/>
    </row>
    <row r="11" s="29" customFormat="1" customHeight="1" spans="1:16">
      <c r="A11" s="21"/>
      <c r="B11" s="30"/>
      <c r="C11" s="22" t="s">
        <v>86</v>
      </c>
      <c r="D11" s="31">
        <f t="shared" si="0"/>
        <v>17.976</v>
      </c>
      <c r="E11" s="25">
        <v>20.5</v>
      </c>
      <c r="F11" s="24">
        <v>15</v>
      </c>
      <c r="G11" s="21" t="s">
        <v>55</v>
      </c>
      <c r="H11" s="25">
        <v>269.64</v>
      </c>
      <c r="I11" s="25">
        <f t="shared" si="5"/>
        <v>307.5</v>
      </c>
      <c r="J11" s="24"/>
      <c r="K11" s="23">
        <f t="shared" si="4"/>
        <v>37.86</v>
      </c>
      <c r="L11" s="25">
        <f t="shared" si="2"/>
        <v>-269.64</v>
      </c>
      <c r="M11" s="25"/>
      <c r="N11" s="25">
        <f t="shared" si="3"/>
        <v>5071.252509434</v>
      </c>
      <c r="O11" s="74"/>
    </row>
    <row r="12" s="29" customFormat="1" customHeight="1" spans="1:16">
      <c r="A12" s="21"/>
      <c r="B12" s="30"/>
      <c r="C12" s="22" t="s">
        <v>87</v>
      </c>
      <c r="D12" s="31">
        <f t="shared" si="0"/>
        <v>9.107</v>
      </c>
      <c r="E12" s="23">
        <v>10.5</v>
      </c>
      <c r="F12" s="24">
        <v>10</v>
      </c>
      <c r="G12" s="21" t="s">
        <v>88</v>
      </c>
      <c r="H12" s="25">
        <v>91.07</v>
      </c>
      <c r="I12" s="25">
        <f t="shared" si="5"/>
        <v>105</v>
      </c>
      <c r="J12" s="24"/>
      <c r="K12" s="23">
        <f t="shared" si="4"/>
        <v>13.93</v>
      </c>
      <c r="L12" s="25">
        <f t="shared" si="2"/>
        <v>-91.07</v>
      </c>
      <c r="M12" s="25"/>
      <c r="N12" s="25">
        <f t="shared" si="3"/>
        <v>4980.182509434</v>
      </c>
      <c r="O12" s="74"/>
    </row>
    <row r="13" s="29" customFormat="1" customHeight="1" spans="1:16">
      <c r="A13" s="21"/>
      <c r="B13" s="30"/>
      <c r="C13" s="22" t="s">
        <v>89</v>
      </c>
      <c r="D13" s="31">
        <f t="shared" si="0"/>
        <v>0.0865333333333333</v>
      </c>
      <c r="E13" s="23">
        <v>0.2</v>
      </c>
      <c r="F13" s="24">
        <v>300</v>
      </c>
      <c r="G13" s="21" t="s">
        <v>55</v>
      </c>
      <c r="H13" s="25">
        <v>25.96</v>
      </c>
      <c r="I13" s="25">
        <f t="shared" si="5"/>
        <v>60</v>
      </c>
      <c r="J13" s="24"/>
      <c r="K13" s="23">
        <f t="shared" si="4"/>
        <v>34.04</v>
      </c>
      <c r="L13" s="25">
        <f t="shared" si="2"/>
        <v>-25.96</v>
      </c>
      <c r="M13" s="25"/>
      <c r="N13" s="25">
        <f t="shared" si="3"/>
        <v>4954.222509434</v>
      </c>
      <c r="O13" s="74"/>
    </row>
    <row r="14" s="29" customFormat="1" customHeight="1" spans="1:16">
      <c r="A14" s="21"/>
      <c r="B14" s="30"/>
      <c r="C14" s="22" t="s">
        <v>90</v>
      </c>
      <c r="D14" s="31">
        <f t="shared" si="0"/>
        <v>0.23005</v>
      </c>
      <c r="E14" s="23">
        <v>0.4</v>
      </c>
      <c r="F14" s="24">
        <v>200</v>
      </c>
      <c r="G14" s="21" t="s">
        <v>91</v>
      </c>
      <c r="H14" s="25">
        <v>46.01</v>
      </c>
      <c r="I14" s="25">
        <f t="shared" si="5"/>
        <v>80</v>
      </c>
      <c r="J14" s="24"/>
      <c r="K14" s="23">
        <f t="shared" si="4"/>
        <v>33.99</v>
      </c>
      <c r="L14" s="25">
        <f t="shared" si="2"/>
        <v>-46.01</v>
      </c>
      <c r="M14" s="25"/>
      <c r="N14" s="25">
        <f t="shared" si="3"/>
        <v>4908.212509434</v>
      </c>
      <c r="O14" s="74"/>
    </row>
    <row r="15" s="29" customFormat="1" customHeight="1" spans="1:16">
      <c r="A15" s="21"/>
      <c r="B15" s="21"/>
      <c r="C15" s="21" t="s">
        <v>92</v>
      </c>
      <c r="D15" s="31">
        <f t="shared" si="0"/>
        <v>7.18</v>
      </c>
      <c r="E15" s="23">
        <v>9</v>
      </c>
      <c r="F15" s="24">
        <v>3</v>
      </c>
      <c r="G15" s="21" t="s">
        <v>88</v>
      </c>
      <c r="H15" s="25">
        <v>21.54</v>
      </c>
      <c r="I15" s="25">
        <f t="shared" si="5"/>
        <v>27</v>
      </c>
      <c r="J15" s="24"/>
      <c r="K15" s="23">
        <f t="shared" si="4"/>
        <v>5.46</v>
      </c>
      <c r="L15" s="25">
        <f t="shared" si="2"/>
        <v>-21.54</v>
      </c>
      <c r="M15" s="25"/>
      <c r="N15" s="25">
        <f t="shared" si="3"/>
        <v>4886.672509434</v>
      </c>
      <c r="O15" s="74"/>
    </row>
    <row r="16" s="29" customFormat="1" customHeight="1" spans="1:16">
      <c r="A16" s="21"/>
      <c r="B16" s="21"/>
      <c r="C16" s="21" t="s">
        <v>93</v>
      </c>
      <c r="D16" s="31">
        <f t="shared" si="0"/>
        <v>15.542</v>
      </c>
      <c r="E16" s="23">
        <v>18</v>
      </c>
      <c r="F16" s="24">
        <v>5</v>
      </c>
      <c r="G16" s="21" t="s">
        <v>55</v>
      </c>
      <c r="H16" s="25">
        <v>77.71</v>
      </c>
      <c r="I16" s="25">
        <f t="shared" si="5"/>
        <v>90</v>
      </c>
      <c r="J16" s="24"/>
      <c r="K16" s="23">
        <f t="shared" si="4"/>
        <v>12.29</v>
      </c>
      <c r="L16" s="25">
        <f t="shared" si="2"/>
        <v>-77.71</v>
      </c>
      <c r="M16" s="25"/>
      <c r="N16" s="25">
        <f t="shared" si="3"/>
        <v>4808.962509434</v>
      </c>
      <c r="O16" s="74"/>
    </row>
    <row r="17" s="29" customFormat="1" customHeight="1" spans="1:15">
      <c r="A17" s="21"/>
      <c r="B17" s="30"/>
      <c r="C17" s="22" t="s">
        <v>94</v>
      </c>
      <c r="D17" s="31">
        <f t="shared" si="0"/>
        <v>16.724</v>
      </c>
      <c r="E17" s="23">
        <v>22</v>
      </c>
      <c r="F17" s="24">
        <v>10</v>
      </c>
      <c r="G17" s="21" t="s">
        <v>88</v>
      </c>
      <c r="H17" s="31">
        <v>167.24</v>
      </c>
      <c r="I17" s="23">
        <f t="shared" si="5"/>
        <v>220</v>
      </c>
      <c r="J17" s="24"/>
      <c r="K17" s="23">
        <f t="shared" si="4"/>
        <v>52.76</v>
      </c>
      <c r="L17" s="25">
        <f t="shared" si="2"/>
        <v>-167.24</v>
      </c>
      <c r="M17" s="25"/>
      <c r="N17" s="25">
        <f t="shared" si="3"/>
        <v>4641.722509434</v>
      </c>
      <c r="O17" s="74"/>
    </row>
    <row r="18" s="29" customFormat="1" customHeight="1" spans="1:15">
      <c r="A18" s="21"/>
      <c r="B18" s="30"/>
      <c r="C18" s="22" t="s">
        <v>95</v>
      </c>
      <c r="D18" s="31">
        <f t="shared" si="0"/>
        <v>16.774</v>
      </c>
      <c r="E18" s="23">
        <v>20</v>
      </c>
      <c r="F18" s="24">
        <v>10</v>
      </c>
      <c r="G18" s="21" t="s">
        <v>88</v>
      </c>
      <c r="H18" s="31">
        <v>167.74</v>
      </c>
      <c r="I18" s="23">
        <f t="shared" si="5"/>
        <v>200</v>
      </c>
      <c r="J18" s="24"/>
      <c r="K18" s="23">
        <f t="shared" si="4"/>
        <v>32.26</v>
      </c>
      <c r="L18" s="25">
        <f t="shared" si="2"/>
        <v>-167.74</v>
      </c>
      <c r="M18" s="25"/>
      <c r="N18" s="25">
        <f t="shared" si="3"/>
        <v>4473.982509434</v>
      </c>
      <c r="O18" s="74"/>
    </row>
    <row r="19" s="29" customFormat="1" customHeight="1" spans="1:15">
      <c r="A19" s="21"/>
      <c r="B19" s="30"/>
      <c r="C19" s="22" t="s">
        <v>96</v>
      </c>
      <c r="D19" s="31">
        <f t="shared" si="0"/>
        <v>2.691</v>
      </c>
      <c r="E19" s="23">
        <v>3.5</v>
      </c>
      <c r="F19" s="24">
        <v>20</v>
      </c>
      <c r="G19" s="21" t="s">
        <v>55</v>
      </c>
      <c r="H19" s="31">
        <v>53.82</v>
      </c>
      <c r="I19" s="23">
        <f t="shared" si="5"/>
        <v>70</v>
      </c>
      <c r="J19" s="24"/>
      <c r="K19" s="23">
        <f t="shared" si="4"/>
        <v>16.18</v>
      </c>
      <c r="L19" s="25">
        <f t="shared" si="2"/>
        <v>-53.82</v>
      </c>
      <c r="M19" s="25"/>
      <c r="N19" s="25">
        <f t="shared" si="3"/>
        <v>4420.162509434</v>
      </c>
      <c r="O19" s="74"/>
    </row>
    <row r="20" s="29" customFormat="1" customHeight="1" spans="1:15">
      <c r="A20" s="21"/>
      <c r="B20" s="30"/>
      <c r="C20" s="22" t="s">
        <v>97</v>
      </c>
      <c r="D20" s="31">
        <f t="shared" si="0"/>
        <v>3.13</v>
      </c>
      <c r="E20" s="23">
        <v>4</v>
      </c>
      <c r="F20" s="24">
        <v>2</v>
      </c>
      <c r="G20" s="21" t="s">
        <v>55</v>
      </c>
      <c r="H20" s="31">
        <v>6.26</v>
      </c>
      <c r="I20" s="23">
        <f>E20*2</f>
        <v>8</v>
      </c>
      <c r="J20" s="24"/>
      <c r="K20" s="23">
        <f t="shared" si="4"/>
        <v>1.74</v>
      </c>
      <c r="L20" s="25">
        <f t="shared" si="2"/>
        <v>-6.26</v>
      </c>
      <c r="M20" s="25"/>
      <c r="N20" s="25">
        <f t="shared" si="3"/>
        <v>4413.902509434</v>
      </c>
      <c r="O20" s="74"/>
    </row>
    <row r="21" s="29" customFormat="1" customHeight="1" spans="1:15">
      <c r="A21" s="21"/>
      <c r="B21" s="30"/>
      <c r="C21" s="22" t="s">
        <v>98</v>
      </c>
      <c r="D21" s="31">
        <f t="shared" si="0"/>
        <v>0.4878125</v>
      </c>
      <c r="E21" s="23">
        <v>0.8</v>
      </c>
      <c r="F21" s="24">
        <v>96</v>
      </c>
      <c r="G21" s="21" t="s">
        <v>52</v>
      </c>
      <c r="H21" s="31">
        <v>46.83</v>
      </c>
      <c r="I21" s="23">
        <f t="shared" ref="I21:I34" si="6">E21*F21</f>
        <v>76.8</v>
      </c>
      <c r="J21" s="24"/>
      <c r="K21" s="23">
        <f t="shared" si="4"/>
        <v>29.97</v>
      </c>
      <c r="L21" s="25">
        <f t="shared" si="2"/>
        <v>-46.83</v>
      </c>
      <c r="M21" s="25"/>
      <c r="N21" s="25">
        <f t="shared" si="3"/>
        <v>4367.072509434</v>
      </c>
      <c r="O21" s="74"/>
    </row>
    <row r="22" s="29" customFormat="1" customHeight="1" spans="1:15">
      <c r="A22" s="21"/>
      <c r="B22" s="30"/>
      <c r="C22" s="22" t="s">
        <v>99</v>
      </c>
      <c r="D22" s="25">
        <f t="shared" si="0"/>
        <v>1.3153125</v>
      </c>
      <c r="E22" s="23">
        <v>1.8</v>
      </c>
      <c r="F22" s="24">
        <v>32</v>
      </c>
      <c r="G22" s="21" t="s">
        <v>100</v>
      </c>
      <c r="H22" s="25">
        <v>42.09</v>
      </c>
      <c r="I22" s="23">
        <f t="shared" si="6"/>
        <v>57.6</v>
      </c>
      <c r="J22" s="24"/>
      <c r="K22" s="23">
        <f t="shared" si="4"/>
        <v>15.51</v>
      </c>
      <c r="L22" s="25">
        <f t="shared" si="2"/>
        <v>-42.09</v>
      </c>
      <c r="M22" s="25"/>
      <c r="N22" s="25">
        <f t="shared" si="3"/>
        <v>4324.982509434</v>
      </c>
      <c r="O22" s="74"/>
    </row>
    <row r="23" s="29" customFormat="1" customHeight="1" spans="1:15">
      <c r="A23" s="21"/>
      <c r="B23" s="30"/>
      <c r="C23" s="22" t="s">
        <v>101</v>
      </c>
      <c r="D23" s="31">
        <f t="shared" si="0"/>
        <v>0.2643</v>
      </c>
      <c r="E23" s="23">
        <v>0.55</v>
      </c>
      <c r="F23" s="24">
        <v>100</v>
      </c>
      <c r="G23" s="21" t="s">
        <v>49</v>
      </c>
      <c r="H23" s="25">
        <v>26.43</v>
      </c>
      <c r="I23" s="25">
        <f t="shared" si="6"/>
        <v>55</v>
      </c>
      <c r="J23" s="24"/>
      <c r="K23" s="23">
        <f t="shared" si="4"/>
        <v>28.57</v>
      </c>
      <c r="L23" s="25">
        <f t="shared" si="2"/>
        <v>-26.43</v>
      </c>
      <c r="M23" s="25"/>
      <c r="N23" s="25">
        <f t="shared" si="3"/>
        <v>4298.552509434</v>
      </c>
      <c r="O23" s="74"/>
    </row>
    <row r="24" s="29" customFormat="1" customHeight="1" spans="1:15">
      <c r="A24" s="21"/>
      <c r="B24" s="30"/>
      <c r="C24" s="22" t="s">
        <v>102</v>
      </c>
      <c r="D24" s="31">
        <f t="shared" si="0"/>
        <v>17.124</v>
      </c>
      <c r="E24" s="25">
        <v>20</v>
      </c>
      <c r="F24" s="24">
        <v>10</v>
      </c>
      <c r="G24" s="21" t="s">
        <v>52</v>
      </c>
      <c r="H24" s="25">
        <v>171.24</v>
      </c>
      <c r="I24" s="25">
        <f t="shared" si="6"/>
        <v>200</v>
      </c>
      <c r="J24" s="24"/>
      <c r="K24" s="23">
        <f t="shared" si="4"/>
        <v>28.76</v>
      </c>
      <c r="L24" s="25">
        <f t="shared" si="2"/>
        <v>-171.24</v>
      </c>
      <c r="M24" s="25"/>
      <c r="N24" s="25">
        <f t="shared" si="3"/>
        <v>4127.312509434</v>
      </c>
      <c r="O24" s="74"/>
    </row>
    <row r="25" s="29" customFormat="1" customHeight="1" spans="1:15">
      <c r="A25" s="21"/>
      <c r="B25" s="21"/>
      <c r="C25" s="22" t="s">
        <v>103</v>
      </c>
      <c r="D25" s="25">
        <f t="shared" si="0"/>
        <v>14.735</v>
      </c>
      <c r="E25" s="25">
        <v>19</v>
      </c>
      <c r="F25" s="24">
        <v>10</v>
      </c>
      <c r="G25" s="21" t="s">
        <v>52</v>
      </c>
      <c r="H25" s="25">
        <v>147.35</v>
      </c>
      <c r="I25" s="25">
        <f t="shared" si="6"/>
        <v>190</v>
      </c>
      <c r="J25" s="24"/>
      <c r="K25" s="23">
        <f t="shared" si="4"/>
        <v>42.65</v>
      </c>
      <c r="L25" s="25">
        <f t="shared" si="2"/>
        <v>-147.35</v>
      </c>
      <c r="M25" s="25"/>
      <c r="N25" s="25">
        <f t="shared" si="3"/>
        <v>3979.962509434</v>
      </c>
      <c r="O25" s="74"/>
    </row>
    <row r="26" s="64" customFormat="1" customHeight="1" spans="1:15">
      <c r="A26" s="21"/>
      <c r="B26" s="21"/>
      <c r="C26" s="22" t="s">
        <v>104</v>
      </c>
      <c r="D26" s="23">
        <f t="shared" si="0"/>
        <v>4.227</v>
      </c>
      <c r="E26" s="23">
        <v>5.5</v>
      </c>
      <c r="F26" s="24">
        <v>20</v>
      </c>
      <c r="G26" s="21" t="s">
        <v>55</v>
      </c>
      <c r="H26" s="23">
        <f>42.27*2</f>
        <v>84.54</v>
      </c>
      <c r="I26" s="23">
        <f t="shared" si="6"/>
        <v>110</v>
      </c>
      <c r="J26" s="24"/>
      <c r="K26" s="23">
        <f t="shared" si="4"/>
        <v>25.46</v>
      </c>
      <c r="L26" s="25">
        <f t="shared" si="2"/>
        <v>-84.54</v>
      </c>
      <c r="M26" s="25"/>
      <c r="N26" s="25">
        <f t="shared" si="3"/>
        <v>3895.422509434</v>
      </c>
      <c r="O26" s="74"/>
    </row>
    <row r="27" s="29" customFormat="1" customHeight="1" spans="1:15">
      <c r="A27" s="21"/>
      <c r="B27" s="21"/>
      <c r="C27" s="22" t="s">
        <v>105</v>
      </c>
      <c r="D27" s="23">
        <f t="shared" si="0"/>
        <v>37.9666666666667</v>
      </c>
      <c r="E27" s="23">
        <v>46</v>
      </c>
      <c r="F27" s="24">
        <v>3</v>
      </c>
      <c r="G27" s="21" t="s">
        <v>106</v>
      </c>
      <c r="H27" s="25">
        <v>113.9</v>
      </c>
      <c r="I27" s="25">
        <f t="shared" si="6"/>
        <v>138</v>
      </c>
      <c r="J27" s="24"/>
      <c r="K27" s="23">
        <f t="shared" si="4"/>
        <v>24.1</v>
      </c>
      <c r="L27" s="25">
        <f t="shared" si="2"/>
        <v>-113.9</v>
      </c>
      <c r="M27" s="25"/>
      <c r="N27" s="25">
        <f t="shared" si="3"/>
        <v>3781.522509434</v>
      </c>
      <c r="O27" s="74"/>
    </row>
    <row r="28" s="29" customFormat="1" customHeight="1" spans="1:15">
      <c r="A28" s="21"/>
      <c r="B28" s="21"/>
      <c r="C28" s="22" t="s">
        <v>107</v>
      </c>
      <c r="D28" s="31">
        <f t="shared" si="0"/>
        <v>15.21375</v>
      </c>
      <c r="E28" s="25">
        <v>17</v>
      </c>
      <c r="F28" s="24">
        <v>40</v>
      </c>
      <c r="G28" s="21" t="s">
        <v>76</v>
      </c>
      <c r="H28" s="31">
        <v>608.55</v>
      </c>
      <c r="I28" s="25">
        <f t="shared" si="6"/>
        <v>680</v>
      </c>
      <c r="J28" s="24"/>
      <c r="K28" s="23">
        <f t="shared" si="4"/>
        <v>71.45</v>
      </c>
      <c r="L28" s="25">
        <f t="shared" si="2"/>
        <v>-608.55</v>
      </c>
      <c r="M28" s="25"/>
      <c r="N28" s="25">
        <f t="shared" si="3"/>
        <v>3172.972509434</v>
      </c>
      <c r="O28" s="74"/>
    </row>
    <row r="29" s="29" customFormat="1" customHeight="1" spans="1:15">
      <c r="A29" s="21"/>
      <c r="B29" s="21"/>
      <c r="C29" s="21" t="s">
        <v>108</v>
      </c>
      <c r="D29" s="31">
        <f t="shared" si="0"/>
        <v>4.574</v>
      </c>
      <c r="E29" s="23">
        <v>6.5</v>
      </c>
      <c r="F29" s="24">
        <v>10</v>
      </c>
      <c r="G29" s="21" t="s">
        <v>52</v>
      </c>
      <c r="H29" s="25">
        <v>45.74</v>
      </c>
      <c r="I29" s="23">
        <f t="shared" si="6"/>
        <v>65</v>
      </c>
      <c r="J29" s="24"/>
      <c r="K29" s="23">
        <f t="shared" si="4"/>
        <v>19.26</v>
      </c>
      <c r="L29" s="25">
        <f t="shared" si="2"/>
        <v>-45.74</v>
      </c>
      <c r="M29" s="25"/>
      <c r="N29" s="25">
        <f t="shared" si="3"/>
        <v>3127.232509434</v>
      </c>
      <c r="O29" s="74"/>
    </row>
    <row r="30" s="29" customFormat="1" customHeight="1" spans="1:15">
      <c r="A30" s="21"/>
      <c r="B30" s="21"/>
      <c r="C30" s="21" t="s">
        <v>109</v>
      </c>
      <c r="D30" s="31">
        <f t="shared" si="0"/>
        <v>10.14375</v>
      </c>
      <c r="E30" s="23">
        <v>12.5</v>
      </c>
      <c r="F30" s="24">
        <v>48</v>
      </c>
      <c r="G30" s="21" t="s">
        <v>106</v>
      </c>
      <c r="H30" s="31">
        <v>486.9</v>
      </c>
      <c r="I30" s="23">
        <f t="shared" si="6"/>
        <v>600</v>
      </c>
      <c r="J30" s="24"/>
      <c r="K30" s="23">
        <f t="shared" si="4"/>
        <v>113.1</v>
      </c>
      <c r="L30" s="25">
        <f t="shared" si="2"/>
        <v>-486.9</v>
      </c>
      <c r="M30" s="25"/>
      <c r="N30" s="25">
        <f t="shared" si="3"/>
        <v>2640.332509434</v>
      </c>
      <c r="O30" s="74"/>
    </row>
    <row r="31" s="29" customFormat="1" customHeight="1" spans="1:15">
      <c r="A31" s="21"/>
      <c r="B31" s="21"/>
      <c r="C31" s="21" t="s">
        <v>110</v>
      </c>
      <c r="D31" s="25">
        <f t="shared" si="0"/>
        <v>10.14375</v>
      </c>
      <c r="E31" s="23">
        <v>12.5</v>
      </c>
      <c r="F31" s="24">
        <v>48</v>
      </c>
      <c r="G31" s="21" t="s">
        <v>106</v>
      </c>
      <c r="H31" s="31">
        <v>486.9</v>
      </c>
      <c r="I31" s="23">
        <f t="shared" si="6"/>
        <v>600</v>
      </c>
      <c r="J31" s="24"/>
      <c r="K31" s="23">
        <f t="shared" si="4"/>
        <v>113.1</v>
      </c>
      <c r="L31" s="25">
        <f t="shared" si="2"/>
        <v>-486.9</v>
      </c>
      <c r="M31" s="25"/>
      <c r="N31" s="25">
        <f t="shared" si="3"/>
        <v>2153.432509434</v>
      </c>
      <c r="O31" s="74"/>
    </row>
    <row r="32" s="29" customFormat="1" customHeight="1" spans="1:15">
      <c r="A32" s="21"/>
      <c r="B32" s="21"/>
      <c r="C32" s="21" t="s">
        <v>111</v>
      </c>
      <c r="D32" s="31">
        <f t="shared" si="0"/>
        <v>7.436</v>
      </c>
      <c r="E32" s="21">
        <v>8.5</v>
      </c>
      <c r="F32" s="24">
        <v>10</v>
      </c>
      <c r="G32" s="21" t="s">
        <v>106</v>
      </c>
      <c r="H32" s="31">
        <f>37.18*2</f>
        <v>74.36</v>
      </c>
      <c r="I32" s="21">
        <f t="shared" si="6"/>
        <v>85</v>
      </c>
      <c r="J32" s="24"/>
      <c r="K32" s="23">
        <f t="shared" si="4"/>
        <v>10.64</v>
      </c>
      <c r="L32" s="25">
        <f t="shared" si="2"/>
        <v>-74.36</v>
      </c>
      <c r="M32" s="25"/>
      <c r="N32" s="25">
        <f t="shared" si="3"/>
        <v>2079.072509434</v>
      </c>
      <c r="O32" s="74"/>
    </row>
    <row r="33" s="29" customFormat="1" customHeight="1" spans="1:30">
      <c r="A33" s="21"/>
      <c r="B33" s="21"/>
      <c r="C33" s="22" t="s">
        <v>112</v>
      </c>
      <c r="D33" s="31">
        <f t="shared" si="0"/>
        <v>2.46631578947368</v>
      </c>
      <c r="E33" s="21">
        <v>3.5</v>
      </c>
      <c r="F33" s="24">
        <v>57</v>
      </c>
      <c r="G33" s="21" t="s">
        <v>106</v>
      </c>
      <c r="H33" s="31">
        <v>140.58</v>
      </c>
      <c r="I33" s="25">
        <f t="shared" si="6"/>
        <v>199.5</v>
      </c>
      <c r="J33" s="24"/>
      <c r="K33" s="23">
        <f t="shared" si="4"/>
        <v>58.92</v>
      </c>
      <c r="L33" s="25">
        <f t="shared" si="2"/>
        <v>-140.58</v>
      </c>
      <c r="M33" s="25"/>
      <c r="N33" s="25">
        <f t="shared" si="3"/>
        <v>1938.492509434</v>
      </c>
      <c r="O33" s="74"/>
    </row>
    <row r="34" s="29" customFormat="1" customHeight="1" spans="1:30">
      <c r="A34" s="21"/>
      <c r="B34" s="21"/>
      <c r="C34" s="22" t="s">
        <v>113</v>
      </c>
      <c r="D34" s="31">
        <f t="shared" si="0"/>
        <v>9.48166666666667</v>
      </c>
      <c r="E34" s="21">
        <v>12.5</v>
      </c>
      <c r="F34" s="24">
        <v>6</v>
      </c>
      <c r="G34" s="21" t="s">
        <v>106</v>
      </c>
      <c r="H34" s="31">
        <v>56.89</v>
      </c>
      <c r="I34" s="21">
        <f t="shared" si="6"/>
        <v>75</v>
      </c>
      <c r="J34" s="24"/>
      <c r="K34" s="23">
        <f t="shared" si="4"/>
        <v>18.11</v>
      </c>
      <c r="L34" s="25">
        <f t="shared" si="2"/>
        <v>-56.89</v>
      </c>
      <c r="M34" s="25"/>
      <c r="N34" s="25">
        <f t="shared" si="3"/>
        <v>1881.602509434</v>
      </c>
      <c r="O34" s="74"/>
    </row>
    <row r="35" s="64" customFormat="1" customHeight="1" spans="1:30">
      <c r="A35" s="21"/>
      <c r="B35" s="21"/>
      <c r="C35" s="22" t="s">
        <v>114</v>
      </c>
      <c r="D35" s="23">
        <f t="shared" si="0"/>
        <v>15.755</v>
      </c>
      <c r="E35" s="23">
        <v>18.5</v>
      </c>
      <c r="F35" s="24">
        <v>12</v>
      </c>
      <c r="G35" s="21" t="s">
        <v>115</v>
      </c>
      <c r="H35" s="25">
        <v>189.06</v>
      </c>
      <c r="I35" s="25">
        <f>E35*12</f>
        <v>222</v>
      </c>
      <c r="J35" s="24"/>
      <c r="K35" s="23">
        <f t="shared" si="4"/>
        <v>32.94</v>
      </c>
      <c r="L35" s="25">
        <f t="shared" si="2"/>
        <v>-189.06</v>
      </c>
      <c r="M35" s="25"/>
      <c r="N35" s="25">
        <f t="shared" si="3"/>
        <v>1692.542509434</v>
      </c>
      <c r="O35" s="74"/>
    </row>
    <row r="36" s="64" customFormat="1" customHeight="1" spans="1:30">
      <c r="A36" s="21"/>
      <c r="B36" s="21"/>
      <c r="C36" s="22" t="s">
        <v>116</v>
      </c>
      <c r="D36" s="23">
        <f t="shared" si="0"/>
        <v>5.055</v>
      </c>
      <c r="E36" s="23">
        <v>6.5</v>
      </c>
      <c r="F36" s="24">
        <v>50</v>
      </c>
      <c r="G36" s="21" t="s">
        <v>55</v>
      </c>
      <c r="H36" s="25">
        <v>252.75</v>
      </c>
      <c r="I36" s="25">
        <f t="shared" ref="I36:I43" si="7">E36*F36</f>
        <v>325</v>
      </c>
      <c r="J36" s="24"/>
      <c r="K36" s="23">
        <f t="shared" si="4"/>
        <v>72.25</v>
      </c>
      <c r="L36" s="25">
        <f t="shared" si="2"/>
        <v>-252.75</v>
      </c>
      <c r="M36" s="25"/>
      <c r="N36" s="25">
        <f t="shared" si="3"/>
        <v>1439.792509434</v>
      </c>
      <c r="O36" s="74"/>
    </row>
    <row r="37" s="64" customFormat="1" customHeight="1" spans="1:30">
      <c r="A37" s="21"/>
      <c r="B37" s="21"/>
      <c r="C37" s="22" t="s">
        <v>117</v>
      </c>
      <c r="D37" s="25">
        <f t="shared" si="0"/>
        <v>17.0186666666667</v>
      </c>
      <c r="E37" s="25">
        <v>19.5</v>
      </c>
      <c r="F37" s="24">
        <v>15</v>
      </c>
      <c r="G37" s="21" t="s">
        <v>52</v>
      </c>
      <c r="H37" s="25">
        <v>255.28</v>
      </c>
      <c r="I37" s="25">
        <f t="shared" si="7"/>
        <v>292.5</v>
      </c>
      <c r="J37" s="24"/>
      <c r="K37" s="23">
        <f t="shared" si="4"/>
        <v>37.22</v>
      </c>
      <c r="L37" s="25">
        <f t="shared" si="2"/>
        <v>-255.28</v>
      </c>
      <c r="M37" s="25"/>
      <c r="N37" s="25">
        <f t="shared" si="3"/>
        <v>1184.512509434</v>
      </c>
      <c r="O37" s="74"/>
    </row>
    <row r="38" s="29" customFormat="1" customHeight="1" spans="1:30">
      <c r="A38" s="21"/>
      <c r="B38" s="21"/>
      <c r="C38" s="106" t="s">
        <v>118</v>
      </c>
      <c r="D38" s="25">
        <f t="shared" si="0"/>
        <v>1.26666666666667</v>
      </c>
      <c r="E38" s="25">
        <v>1.8</v>
      </c>
      <c r="F38" s="21">
        <v>3</v>
      </c>
      <c r="G38" s="21" t="s">
        <v>55</v>
      </c>
      <c r="H38" s="25">
        <v>3.8</v>
      </c>
      <c r="I38" s="25">
        <f t="shared" si="7"/>
        <v>5.4</v>
      </c>
      <c r="J38" s="24"/>
      <c r="K38" s="23">
        <f t="shared" si="4"/>
        <v>1.6</v>
      </c>
      <c r="L38" s="25">
        <f t="shared" si="2"/>
        <v>-3.8</v>
      </c>
      <c r="M38" s="25"/>
      <c r="N38" s="25">
        <f t="shared" si="3"/>
        <v>1180.712509434</v>
      </c>
      <c r="O38" s="74"/>
      <c r="R38" s="75"/>
      <c r="S38" s="76"/>
      <c r="T38" s="35"/>
      <c r="U38" s="36"/>
      <c r="W38" s="37"/>
      <c r="X38" s="37"/>
      <c r="Y38" s="36"/>
      <c r="Z38" s="77"/>
      <c r="AA38" s="37"/>
      <c r="AB38" s="37"/>
      <c r="AC38" s="37"/>
      <c r="AD38" s="78"/>
    </row>
    <row r="39" s="29" customFormat="1" customHeight="1" spans="1:30">
      <c r="A39" s="21"/>
      <c r="B39" s="21"/>
      <c r="C39" s="22" t="s">
        <v>119</v>
      </c>
      <c r="D39" s="31">
        <f t="shared" si="0"/>
        <v>2.6746</v>
      </c>
      <c r="E39" s="21">
        <v>3.2</v>
      </c>
      <c r="F39" s="24">
        <v>200</v>
      </c>
      <c r="G39" s="21" t="s">
        <v>106</v>
      </c>
      <c r="H39" s="25">
        <v>534.92</v>
      </c>
      <c r="I39" s="25">
        <f t="shared" si="7"/>
        <v>640</v>
      </c>
      <c r="J39" s="24"/>
      <c r="K39" s="23">
        <f t="shared" si="4"/>
        <v>105.08</v>
      </c>
      <c r="L39" s="25">
        <f t="shared" si="2"/>
        <v>-534.92</v>
      </c>
      <c r="M39" s="25"/>
      <c r="N39" s="25">
        <f t="shared" si="3"/>
        <v>645.792509434001</v>
      </c>
      <c r="O39" s="74"/>
    </row>
    <row r="40" s="29" customFormat="1" customHeight="1" spans="1:30">
      <c r="A40" s="21"/>
      <c r="B40" s="21"/>
      <c r="C40" s="22" t="s">
        <v>120</v>
      </c>
      <c r="D40" s="31">
        <f t="shared" si="0"/>
        <v>0.15688</v>
      </c>
      <c r="E40" s="21">
        <v>0.18</v>
      </c>
      <c r="F40" s="24">
        <v>500</v>
      </c>
      <c r="G40" s="21" t="s">
        <v>121</v>
      </c>
      <c r="H40" s="25">
        <v>78.44</v>
      </c>
      <c r="I40" s="25">
        <f t="shared" si="7"/>
        <v>90</v>
      </c>
      <c r="J40" s="107" t="s">
        <v>122</v>
      </c>
      <c r="K40" s="23">
        <f t="shared" si="4"/>
        <v>11.56</v>
      </c>
      <c r="L40" s="25">
        <f t="shared" si="2"/>
        <v>-78.44</v>
      </c>
      <c r="M40" s="21"/>
      <c r="N40" s="25">
        <f t="shared" ref="N40:N50" si="8">N39+L40+M40</f>
        <v>567.352509434001</v>
      </c>
      <c r="O40" s="21"/>
    </row>
    <row r="41" s="29" customFormat="1" customHeight="1" spans="1:30">
      <c r="A41" s="21"/>
      <c r="B41" s="21"/>
      <c r="C41" s="22" t="s">
        <v>123</v>
      </c>
      <c r="D41" s="31">
        <f t="shared" si="0"/>
        <v>3.1895</v>
      </c>
      <c r="E41" s="21">
        <v>3.8</v>
      </c>
      <c r="F41" s="24">
        <v>60</v>
      </c>
      <c r="G41" s="21" t="s">
        <v>106</v>
      </c>
      <c r="H41" s="25">
        <v>191.37</v>
      </c>
      <c r="I41" s="25">
        <f t="shared" si="7"/>
        <v>228</v>
      </c>
      <c r="J41" s="24"/>
      <c r="K41" s="23">
        <f t="shared" si="4"/>
        <v>36.63</v>
      </c>
      <c r="L41" s="25">
        <f t="shared" si="2"/>
        <v>-191.37</v>
      </c>
      <c r="M41" s="25"/>
      <c r="N41" s="25">
        <f t="shared" si="8"/>
        <v>375.982509434001</v>
      </c>
      <c r="O41" s="74"/>
    </row>
    <row r="42" s="29" customFormat="1" customHeight="1" spans="1:30">
      <c r="A42" s="21"/>
      <c r="B42" s="21"/>
      <c r="C42" s="22" t="s">
        <v>124</v>
      </c>
      <c r="D42" s="25">
        <f t="shared" si="0"/>
        <v>8.6496</v>
      </c>
      <c r="E42" s="25">
        <v>10</v>
      </c>
      <c r="F42" s="24">
        <v>50</v>
      </c>
      <c r="G42" s="21" t="s">
        <v>106</v>
      </c>
      <c r="H42" s="25">
        <v>432.48</v>
      </c>
      <c r="I42" s="25">
        <f t="shared" si="7"/>
        <v>500</v>
      </c>
      <c r="J42" s="24"/>
      <c r="K42" s="23">
        <f t="shared" si="4"/>
        <v>67.52</v>
      </c>
      <c r="L42" s="25">
        <f t="shared" si="2"/>
        <v>-432.48</v>
      </c>
      <c r="M42" s="25"/>
      <c r="N42" s="25">
        <f t="shared" si="8"/>
        <v>-56.4974905659989</v>
      </c>
      <c r="O42" s="74"/>
    </row>
    <row r="43" s="29" customFormat="1" customHeight="1" spans="1:30">
      <c r="A43" s="21"/>
      <c r="B43" s="21"/>
      <c r="C43" s="22" t="s">
        <v>125</v>
      </c>
      <c r="D43" s="31">
        <f t="shared" si="0"/>
        <v>1.0305</v>
      </c>
      <c r="E43" s="21">
        <v>1.5</v>
      </c>
      <c r="F43" s="24">
        <v>60</v>
      </c>
      <c r="G43" s="21" t="s">
        <v>106</v>
      </c>
      <c r="H43" s="25">
        <v>61.83</v>
      </c>
      <c r="I43" s="25">
        <f t="shared" si="7"/>
        <v>90</v>
      </c>
      <c r="J43" s="24"/>
      <c r="K43" s="23">
        <f t="shared" si="4"/>
        <v>28.17</v>
      </c>
      <c r="L43" s="25">
        <f t="shared" si="2"/>
        <v>-61.83</v>
      </c>
      <c r="M43" s="25"/>
      <c r="N43" s="25">
        <f t="shared" si="8"/>
        <v>-118.327490565999</v>
      </c>
      <c r="O43" s="74"/>
    </row>
    <row r="44" s="29" customFormat="1" customHeight="1" spans="1:30">
      <c r="A44" s="21"/>
      <c r="B44" s="21"/>
      <c r="C44" s="22" t="s">
        <v>126</v>
      </c>
      <c r="D44" s="31">
        <f>H44/30</f>
        <v>11.6443333333333</v>
      </c>
      <c r="E44" s="21">
        <f>I44/30</f>
        <v>12.5</v>
      </c>
      <c r="F44" s="24">
        <v>1</v>
      </c>
      <c r="G44" s="21" t="s">
        <v>19</v>
      </c>
      <c r="H44" s="25">
        <v>349.33</v>
      </c>
      <c r="I44" s="25">
        <v>375</v>
      </c>
      <c r="J44" s="24" t="s">
        <v>127</v>
      </c>
      <c r="K44" s="23">
        <f t="shared" si="4"/>
        <v>25.67</v>
      </c>
      <c r="L44" s="25">
        <f t="shared" si="2"/>
        <v>-349.33</v>
      </c>
      <c r="M44" s="25"/>
      <c r="N44" s="25">
        <f t="shared" si="8"/>
        <v>-467.657490565999</v>
      </c>
      <c r="O44" s="74"/>
    </row>
    <row r="45" s="64" customFormat="1" customHeight="1" spans="1:30">
      <c r="A45" s="21"/>
      <c r="B45" s="21"/>
      <c r="C45" s="22" t="s">
        <v>128</v>
      </c>
      <c r="D45" s="31">
        <f t="shared" ref="D45:D50" si="9">H45/F45</f>
        <v>3.342</v>
      </c>
      <c r="E45" s="21">
        <v>4</v>
      </c>
      <c r="F45" s="24">
        <v>10</v>
      </c>
      <c r="G45" s="21" t="s">
        <v>106</v>
      </c>
      <c r="H45" s="25">
        <v>33.42</v>
      </c>
      <c r="I45" s="25">
        <f t="shared" ref="I45:I50" si="10">E45*F45</f>
        <v>40</v>
      </c>
      <c r="J45" s="24"/>
      <c r="K45" s="23">
        <f t="shared" si="4"/>
        <v>6.58</v>
      </c>
      <c r="L45" s="25">
        <f t="shared" si="2"/>
        <v>-33.42</v>
      </c>
      <c r="M45" s="25"/>
      <c r="N45" s="25">
        <f t="shared" si="8"/>
        <v>-501.077490565999</v>
      </c>
      <c r="O45" s="74"/>
    </row>
    <row r="46" s="64" customFormat="1" customHeight="1" spans="1:30">
      <c r="A46" s="21"/>
      <c r="B46" s="21"/>
      <c r="C46" s="22" t="s">
        <v>129</v>
      </c>
      <c r="D46" s="31">
        <f t="shared" si="9"/>
        <v>0.3265</v>
      </c>
      <c r="E46" s="21">
        <v>0.5</v>
      </c>
      <c r="F46" s="24">
        <v>20</v>
      </c>
      <c r="G46" s="21" t="s">
        <v>76</v>
      </c>
      <c r="H46" s="25">
        <v>6.53</v>
      </c>
      <c r="I46" s="25">
        <f t="shared" si="10"/>
        <v>10</v>
      </c>
      <c r="J46" s="24"/>
      <c r="K46" s="23">
        <f t="shared" si="4"/>
        <v>3.47</v>
      </c>
      <c r="L46" s="25">
        <f t="shared" si="2"/>
        <v>-6.53</v>
      </c>
      <c r="M46" s="25"/>
      <c r="N46" s="25">
        <f t="shared" si="8"/>
        <v>-507.607490565999</v>
      </c>
      <c r="O46" s="74"/>
    </row>
    <row r="47" s="64" customFormat="1" customHeight="1" spans="1:30">
      <c r="A47" s="21"/>
      <c r="B47" s="21"/>
      <c r="C47" s="22" t="s">
        <v>130</v>
      </c>
      <c r="D47" s="31">
        <f t="shared" si="9"/>
        <v>12.7495</v>
      </c>
      <c r="E47" s="21">
        <v>13.5</v>
      </c>
      <c r="F47" s="24">
        <v>20</v>
      </c>
      <c r="G47" s="21" t="s">
        <v>131</v>
      </c>
      <c r="H47" s="25">
        <v>254.99</v>
      </c>
      <c r="I47" s="25">
        <f t="shared" si="10"/>
        <v>270</v>
      </c>
      <c r="J47" s="24"/>
      <c r="K47" s="23">
        <f t="shared" si="4"/>
        <v>15.01</v>
      </c>
      <c r="L47" s="25">
        <f t="shared" si="2"/>
        <v>-254.99</v>
      </c>
      <c r="M47" s="25"/>
      <c r="N47" s="25">
        <f t="shared" si="8"/>
        <v>-762.597490565999</v>
      </c>
      <c r="O47" s="74"/>
    </row>
    <row r="48" s="64" customFormat="1" customHeight="1" spans="1:30">
      <c r="A48" s="21"/>
      <c r="B48" s="21"/>
      <c r="C48" s="22" t="s">
        <v>132</v>
      </c>
      <c r="D48" s="31">
        <f t="shared" si="9"/>
        <v>12.213</v>
      </c>
      <c r="E48" s="21">
        <v>14</v>
      </c>
      <c r="F48" s="24">
        <v>10</v>
      </c>
      <c r="G48" s="21" t="s">
        <v>106</v>
      </c>
      <c r="H48" s="25">
        <v>122.13</v>
      </c>
      <c r="I48" s="25">
        <f t="shared" si="10"/>
        <v>140</v>
      </c>
      <c r="J48" s="24"/>
      <c r="K48" s="23">
        <f t="shared" si="4"/>
        <v>17.87</v>
      </c>
      <c r="L48" s="25">
        <f t="shared" si="2"/>
        <v>-122.13</v>
      </c>
      <c r="M48" s="25"/>
      <c r="N48" s="25">
        <f t="shared" si="8"/>
        <v>-884.727490565999</v>
      </c>
      <c r="O48" s="74"/>
    </row>
    <row r="49" s="64" customFormat="1" customHeight="1" spans="1:15">
      <c r="A49" s="21"/>
      <c r="B49" s="21"/>
      <c r="C49" s="22" t="s">
        <v>133</v>
      </c>
      <c r="D49" s="31">
        <f t="shared" si="9"/>
        <v>0.343</v>
      </c>
      <c r="E49" s="21">
        <v>0.8</v>
      </c>
      <c r="F49" s="24">
        <v>50</v>
      </c>
      <c r="G49" s="21" t="s">
        <v>106</v>
      </c>
      <c r="H49" s="25">
        <v>17.15</v>
      </c>
      <c r="I49" s="25">
        <f t="shared" si="10"/>
        <v>40</v>
      </c>
      <c r="J49" s="24"/>
      <c r="K49" s="23">
        <f t="shared" si="4"/>
        <v>22.85</v>
      </c>
      <c r="L49" s="25">
        <f t="shared" si="2"/>
        <v>-17.15</v>
      </c>
      <c r="M49" s="25"/>
      <c r="N49" s="25">
        <f t="shared" si="8"/>
        <v>-901.877490565999</v>
      </c>
      <c r="O49" s="74"/>
    </row>
    <row r="50" s="64" customFormat="1" customHeight="1" spans="1:15">
      <c r="A50" s="21"/>
      <c r="B50" s="21"/>
      <c r="C50" s="22" t="s">
        <v>134</v>
      </c>
      <c r="D50" s="31">
        <f t="shared" si="9"/>
        <v>9.23055555555556</v>
      </c>
      <c r="E50" s="21">
        <v>9.9</v>
      </c>
      <c r="F50" s="24">
        <v>18</v>
      </c>
      <c r="G50" s="21" t="s">
        <v>131</v>
      </c>
      <c r="H50" s="25">
        <v>166.15</v>
      </c>
      <c r="I50" s="25">
        <f t="shared" si="10"/>
        <v>178.2</v>
      </c>
      <c r="J50" s="24"/>
      <c r="K50" s="23">
        <f t="shared" si="4"/>
        <v>12.05</v>
      </c>
      <c r="L50" s="25">
        <f t="shared" si="2"/>
        <v>-166.15</v>
      </c>
      <c r="M50" s="25"/>
      <c r="N50" s="25">
        <f t="shared" si="8"/>
        <v>-1068.027490566</v>
      </c>
      <c r="O50" s="74"/>
    </row>
    <row r="51" customHeight="1" spans="1:15">
      <c r="F51" s="108" t="s">
        <v>70</v>
      </c>
      <c r="H51" s="7">
        <f>SUM(H3:H50)</f>
        <v>7537.6</v>
      </c>
      <c r="I51" s="109">
        <f>SUM(I3:I50)</f>
        <v>9066</v>
      </c>
    </row>
    <row r="52" customHeight="1" spans="1:15">
      <c r="J52" s="6" t="s">
        <v>71</v>
      </c>
      <c r="K52" s="5">
        <f>SUM(K3:K50)</f>
        <v>1528.4</v>
      </c>
    </row>
    <row r="53" customHeight="1" spans="1:15">
      <c r="J53" s="6" t="s">
        <v>72</v>
      </c>
      <c r="K53" s="110">
        <f>K52/2</f>
        <v>764.2</v>
      </c>
      <c r="L53" s="7">
        <f>-K53</f>
        <v>-764.2</v>
      </c>
      <c r="N53" s="111">
        <f>N50+L53</f>
        <v>-1832.227490566</v>
      </c>
      <c r="O53" s="105" t="s">
        <v>73</v>
      </c>
    </row>
  </sheetData>
  <autoFilter xmlns:etc="http://www.wps.cn/officeDocument/2017/etCustomData" ref="B2:C50" etc:filterBottomFollowUsedRange="0">
    <extLst/>
  </autoFilter>
  <mergeCells count="1">
    <mergeCell ref="A1:J1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24"/>
  <sheetViews>
    <sheetView workbookViewId="0">
      <pane xSplit="3" ySplit="2" topLeftCell="D5" activePane="bottomRight" state="frozen"/>
      <selection/>
      <selection pane="topRight"/>
      <selection pane="bottomLeft"/>
      <selection pane="bottomRight" activeCell="O13" sqref="O13"/>
    </sheetView>
  </sheetViews>
  <sheetFormatPr defaultColWidth="9.06666666666667" defaultRowHeight="54" customHeight="1"/>
  <cols>
    <col min="1" max="1" width="10" style="3" customWidth="1"/>
    <col min="2" max="2" width="11.875" style="3" customWidth="1"/>
    <col min="3" max="3" width="34.5" style="4" customWidth="1"/>
    <col min="4" max="4" width="11.875" style="5" customWidth="1"/>
    <col min="5" max="5" width="10.5" style="7" customWidth="1"/>
    <col min="6" max="6" width="6.375" style="6" customWidth="1"/>
    <col min="7" max="7" width="6.375" style="3" customWidth="1"/>
    <col min="8" max="8" width="12.1333333333333" style="7" customWidth="1"/>
    <col min="9" max="9" width="10.5" style="7" customWidth="1"/>
    <col min="10" max="10" width="20.5" style="6" customWidth="1"/>
    <col min="11" max="11" width="10.375" style="7" customWidth="1"/>
    <col min="12" max="12" width="9.875" style="7" customWidth="1"/>
    <col min="13" max="13" width="10.375" style="7" customWidth="1"/>
    <col min="14" max="14" width="11.9333333333333" style="7" customWidth="1"/>
    <col min="15" max="15" width="22.5" style="9" customWidth="1"/>
    <col min="16" max="16384" width="9.06666666666667" style="3" customWidth="1"/>
  </cols>
  <sheetData>
    <row r="1" customHeight="1" spans="1:17">
      <c r="A1" s="10" t="s">
        <v>135</v>
      </c>
      <c r="B1" s="10"/>
      <c r="C1" s="11"/>
      <c r="D1" s="12"/>
      <c r="E1" s="13"/>
      <c r="F1" s="10"/>
      <c r="G1" s="10"/>
      <c r="H1" s="13"/>
      <c r="I1" s="13"/>
      <c r="J1" s="10"/>
    </row>
    <row r="2" s="1" customFormat="1" ht="35.65" customHeight="1" spans="1:17">
      <c r="A2" s="14" t="s">
        <v>1</v>
      </c>
      <c r="B2" s="14" t="s">
        <v>2</v>
      </c>
      <c r="C2" s="15" t="s">
        <v>3</v>
      </c>
      <c r="D2" s="16" t="s">
        <v>4</v>
      </c>
      <c r="E2" s="18" t="s">
        <v>5</v>
      </c>
      <c r="F2" s="17" t="s">
        <v>6</v>
      </c>
      <c r="G2" s="14" t="s">
        <v>7</v>
      </c>
      <c r="H2" s="18" t="s">
        <v>8</v>
      </c>
      <c r="I2" s="18" t="s">
        <v>9</v>
      </c>
      <c r="J2" s="17" t="s">
        <v>10</v>
      </c>
      <c r="K2" s="18" t="s">
        <v>11</v>
      </c>
      <c r="L2" s="18" t="s">
        <v>12</v>
      </c>
      <c r="M2" s="18" t="s">
        <v>13</v>
      </c>
      <c r="N2" s="18" t="s">
        <v>14</v>
      </c>
      <c r="O2" s="20" t="s">
        <v>15</v>
      </c>
    </row>
    <row r="3" s="3" customFormat="1" customHeight="1" spans="1:17">
      <c r="A3" s="21"/>
      <c r="B3" s="81"/>
      <c r="C3" s="22" t="s">
        <v>136</v>
      </c>
      <c r="D3" s="86">
        <f>H3/F3/30</f>
        <v>8.03466666666667</v>
      </c>
      <c r="E3" s="27">
        <v>13.9</v>
      </c>
      <c r="F3" s="83">
        <v>1</v>
      </c>
      <c r="G3" s="81" t="s">
        <v>19</v>
      </c>
      <c r="H3" s="25">
        <v>241.04</v>
      </c>
      <c r="I3" s="27">
        <f>E3*1*30</f>
        <v>417</v>
      </c>
      <c r="J3" s="83" t="s">
        <v>137</v>
      </c>
      <c r="K3" s="25">
        <f>I3-H3</f>
        <v>175.96</v>
      </c>
      <c r="L3" s="25">
        <f>-H3</f>
        <v>-241.04</v>
      </c>
      <c r="M3" s="87">
        <v>-1832.227490566</v>
      </c>
      <c r="N3" s="27">
        <f>M3+L3</f>
        <v>-2073.267490566</v>
      </c>
      <c r="O3" s="88"/>
    </row>
    <row r="4" s="2" customFormat="1" customHeight="1" spans="1:17">
      <c r="A4" s="21"/>
      <c r="B4" s="81"/>
      <c r="C4" s="22" t="s">
        <v>25</v>
      </c>
      <c r="D4" s="86">
        <f>H4/50</f>
        <v>2.75</v>
      </c>
      <c r="E4" s="25">
        <v>3.5</v>
      </c>
      <c r="F4" s="83">
        <v>1</v>
      </c>
      <c r="G4" s="81" t="s">
        <v>19</v>
      </c>
      <c r="H4" s="25">
        <v>137.5</v>
      </c>
      <c r="I4" s="25">
        <f>E4*50</f>
        <v>175</v>
      </c>
      <c r="J4" s="83" t="s">
        <v>138</v>
      </c>
      <c r="K4" s="25">
        <f>I4-H4</f>
        <v>37.5</v>
      </c>
      <c r="L4" s="25">
        <f>-H4</f>
        <v>-137.5</v>
      </c>
      <c r="M4" s="25"/>
      <c r="N4" s="27">
        <f>N3+L4+M4</f>
        <v>-2210.767490566</v>
      </c>
      <c r="O4" s="28"/>
      <c r="P4" s="89"/>
    </row>
    <row r="5" customHeight="1" spans="1:17">
      <c r="A5" s="21"/>
      <c r="B5" s="81"/>
      <c r="C5" s="22" t="s">
        <v>139</v>
      </c>
      <c r="D5" s="86">
        <v>1.15</v>
      </c>
      <c r="E5" s="27">
        <v>2.3</v>
      </c>
      <c r="F5" s="83">
        <v>20</v>
      </c>
      <c r="G5" s="81" t="s">
        <v>17</v>
      </c>
      <c r="H5" s="25">
        <f>D5*F5</f>
        <v>23</v>
      </c>
      <c r="I5" s="27">
        <f>E5*F5</f>
        <v>46</v>
      </c>
      <c r="J5" s="83"/>
      <c r="K5" s="25">
        <f>I5-H5</f>
        <v>23</v>
      </c>
      <c r="L5" s="25">
        <f>-H5</f>
        <v>-23</v>
      </c>
      <c r="M5" s="27"/>
      <c r="N5" s="27">
        <f>N4+L5+M5</f>
        <v>-2233.767490566</v>
      </c>
      <c r="O5" s="88"/>
    </row>
    <row r="6" customHeight="1" spans="1:17">
      <c r="A6" s="21"/>
      <c r="B6" s="81"/>
      <c r="C6" s="22" t="s">
        <v>140</v>
      </c>
      <c r="D6" s="86">
        <v>1.05</v>
      </c>
      <c r="E6" s="27">
        <v>2.3</v>
      </c>
      <c r="F6" s="83">
        <v>30</v>
      </c>
      <c r="G6" s="81" t="s">
        <v>17</v>
      </c>
      <c r="H6" s="25">
        <f>D6*F6</f>
        <v>31.5</v>
      </c>
      <c r="I6" s="27">
        <f>E6*F6</f>
        <v>69</v>
      </c>
      <c r="J6" s="83"/>
      <c r="K6" s="25">
        <f>I6-H6</f>
        <v>37.5</v>
      </c>
      <c r="L6" s="25">
        <f>-H6</f>
        <v>-31.5</v>
      </c>
      <c r="M6" s="27"/>
      <c r="N6" s="27">
        <f t="shared" ref="N6:N14" si="0">N5+L6+M6</f>
        <v>-2265.267490566</v>
      </c>
      <c r="O6" s="88"/>
    </row>
    <row r="7" customHeight="1" spans="1:17">
      <c r="A7" s="21"/>
      <c r="B7" s="81"/>
      <c r="C7" s="22" t="s">
        <v>141</v>
      </c>
      <c r="D7" s="23">
        <f>H7/F7</f>
        <v>4.24</v>
      </c>
      <c r="E7" s="25">
        <v>8.2</v>
      </c>
      <c r="F7" s="24">
        <v>50</v>
      </c>
      <c r="G7" s="21" t="s">
        <v>17</v>
      </c>
      <c r="H7" s="25">
        <v>212</v>
      </c>
      <c r="I7" s="25">
        <f>E7*F7</f>
        <v>410</v>
      </c>
      <c r="J7" s="24"/>
      <c r="K7" s="25">
        <f t="shared" ref="K7:K14" si="1">I7-H7</f>
        <v>198</v>
      </c>
      <c r="L7" s="25">
        <f t="shared" ref="L7:L14" si="2">-H7</f>
        <v>-212</v>
      </c>
      <c r="M7" s="25"/>
      <c r="N7" s="27">
        <f t="shared" si="0"/>
        <v>-2477.267490566</v>
      </c>
      <c r="O7" s="88"/>
    </row>
    <row r="8" s="2" customFormat="1" customHeight="1" spans="1:17">
      <c r="A8" s="21"/>
      <c r="B8" s="81"/>
      <c r="C8" s="22" t="s">
        <v>142</v>
      </c>
      <c r="D8" s="23">
        <v>17</v>
      </c>
      <c r="E8" s="27">
        <v>20</v>
      </c>
      <c r="F8" s="24">
        <v>5</v>
      </c>
      <c r="G8" s="21" t="s">
        <v>19</v>
      </c>
      <c r="H8" s="82">
        <f>D8*F8*10</f>
        <v>850</v>
      </c>
      <c r="I8" s="25">
        <f>E8*F8*10</f>
        <v>1000</v>
      </c>
      <c r="J8" s="24" t="s">
        <v>143</v>
      </c>
      <c r="K8" s="25">
        <f t="shared" si="1"/>
        <v>150</v>
      </c>
      <c r="L8" s="25">
        <f t="shared" si="2"/>
        <v>-850</v>
      </c>
      <c r="M8" s="25"/>
      <c r="N8" s="27">
        <f t="shared" si="0"/>
        <v>-3327.267490566</v>
      </c>
      <c r="O8" s="28"/>
      <c r="P8" s="29"/>
    </row>
    <row r="9" s="2" customFormat="1" customHeight="1" spans="1:17">
      <c r="A9" s="21"/>
      <c r="B9" s="81"/>
      <c r="C9" s="22" t="s">
        <v>144</v>
      </c>
      <c r="D9" s="86">
        <v>13</v>
      </c>
      <c r="E9" s="25">
        <v>15</v>
      </c>
      <c r="F9" s="24">
        <v>5</v>
      </c>
      <c r="G9" s="21" t="s">
        <v>19</v>
      </c>
      <c r="H9" s="25">
        <f>D9*F9*8</f>
        <v>520</v>
      </c>
      <c r="I9" s="25">
        <f>E9*5*8</f>
        <v>600</v>
      </c>
      <c r="J9" s="25" t="s">
        <v>145</v>
      </c>
      <c r="K9" s="25">
        <f t="shared" si="1"/>
        <v>80</v>
      </c>
      <c r="L9" s="25">
        <f t="shared" si="2"/>
        <v>-520</v>
      </c>
      <c r="M9" s="25"/>
      <c r="N9" s="27">
        <f t="shared" si="0"/>
        <v>-3847.267490566</v>
      </c>
      <c r="O9" s="28"/>
      <c r="P9" s="29"/>
    </row>
    <row r="10" s="2" customFormat="1" customHeight="1" spans="1:17">
      <c r="A10" s="21"/>
      <c r="B10" s="30"/>
      <c r="C10" s="22" t="s">
        <v>146</v>
      </c>
      <c r="D10" s="23">
        <v>19.5</v>
      </c>
      <c r="E10" s="25">
        <v>22</v>
      </c>
      <c r="F10" s="24">
        <v>5</v>
      </c>
      <c r="G10" s="21" t="s">
        <v>19</v>
      </c>
      <c r="H10" s="25">
        <f>D10*F10*6</f>
        <v>585</v>
      </c>
      <c r="I10" s="25">
        <f>E10*5*6</f>
        <v>660</v>
      </c>
      <c r="J10" s="24" t="s">
        <v>147</v>
      </c>
      <c r="K10" s="25">
        <f t="shared" si="1"/>
        <v>75</v>
      </c>
      <c r="L10" s="25">
        <f t="shared" si="2"/>
        <v>-585</v>
      </c>
      <c r="M10" s="25"/>
      <c r="N10" s="27">
        <f t="shared" si="0"/>
        <v>-4432.267490566</v>
      </c>
      <c r="O10" s="28"/>
      <c r="P10" s="29"/>
    </row>
    <row r="11" s="2" customFormat="1" customHeight="1" spans="1:17">
      <c r="A11" s="21"/>
      <c r="B11" s="30"/>
      <c r="C11" s="22" t="s">
        <v>148</v>
      </c>
      <c r="D11" s="23">
        <f>H11/F11/8</f>
        <v>11.7225</v>
      </c>
      <c r="E11" s="25">
        <v>18</v>
      </c>
      <c r="F11" s="24">
        <v>5</v>
      </c>
      <c r="G11" s="21" t="s">
        <v>19</v>
      </c>
      <c r="H11" s="25">
        <v>468.9</v>
      </c>
      <c r="I11" s="25">
        <f>E11*F11*8</f>
        <v>720</v>
      </c>
      <c r="J11" s="24" t="s">
        <v>149</v>
      </c>
      <c r="K11" s="25">
        <f t="shared" si="1"/>
        <v>251.1</v>
      </c>
      <c r="L11" s="25">
        <f t="shared" si="2"/>
        <v>-468.9</v>
      </c>
      <c r="M11" s="25"/>
      <c r="N11" s="27">
        <f t="shared" si="0"/>
        <v>-4901.167490566</v>
      </c>
      <c r="O11" s="28"/>
      <c r="P11" s="29"/>
    </row>
    <row r="12" s="2" customFormat="1" customHeight="1" spans="1:17">
      <c r="A12" s="21"/>
      <c r="B12" s="30"/>
      <c r="C12" s="22" t="s">
        <v>150</v>
      </c>
      <c r="D12" s="23">
        <f>H12/F12/12</f>
        <v>13.5966666666667</v>
      </c>
      <c r="E12" s="27">
        <v>17.5</v>
      </c>
      <c r="F12" s="24">
        <v>5</v>
      </c>
      <c r="G12" s="21" t="s">
        <v>19</v>
      </c>
      <c r="H12" s="82">
        <v>815.8</v>
      </c>
      <c r="I12" s="25">
        <f>E12*F12*12</f>
        <v>1050</v>
      </c>
      <c r="J12" s="24" t="s">
        <v>151</v>
      </c>
      <c r="K12" s="25">
        <f t="shared" si="1"/>
        <v>234.2</v>
      </c>
      <c r="L12" s="25">
        <f t="shared" si="2"/>
        <v>-815.8</v>
      </c>
      <c r="M12" s="25"/>
      <c r="N12" s="27">
        <f t="shared" si="0"/>
        <v>-5716.967490566</v>
      </c>
      <c r="O12" s="28"/>
      <c r="P12" s="29"/>
    </row>
    <row r="13" s="2" customFormat="1" customHeight="1" spans="1:17">
      <c r="A13" s="21"/>
      <c r="B13" s="30"/>
      <c r="C13" s="22" t="s">
        <v>152</v>
      </c>
      <c r="D13" s="23">
        <f>H13/F13/36</f>
        <v>3.97555555555555</v>
      </c>
      <c r="E13" s="25">
        <v>7</v>
      </c>
      <c r="F13" s="24">
        <v>5</v>
      </c>
      <c r="G13" s="21" t="s">
        <v>19</v>
      </c>
      <c r="H13" s="25">
        <f>570.78+144.82</f>
        <v>715.6</v>
      </c>
      <c r="I13" s="25">
        <f>E13*F13*36</f>
        <v>1260</v>
      </c>
      <c r="J13" s="24" t="s">
        <v>153</v>
      </c>
      <c r="K13" s="25">
        <f t="shared" si="1"/>
        <v>544.4</v>
      </c>
      <c r="L13" s="25">
        <f t="shared" si="2"/>
        <v>-715.6</v>
      </c>
      <c r="M13" s="25"/>
      <c r="N13" s="27">
        <f t="shared" si="0"/>
        <v>-6432.567490566</v>
      </c>
      <c r="O13" s="28" t="s">
        <v>154</v>
      </c>
      <c r="P13" s="29"/>
      <c r="Q13" s="29"/>
    </row>
    <row r="14" s="2" customFormat="1" customHeight="1" spans="1:17">
      <c r="A14" s="21"/>
      <c r="B14" s="30"/>
      <c r="C14" s="22" t="s">
        <v>155</v>
      </c>
      <c r="D14" s="23">
        <v>14.5</v>
      </c>
      <c r="E14" s="25">
        <v>16.5</v>
      </c>
      <c r="F14" s="24">
        <v>5</v>
      </c>
      <c r="G14" s="21" t="s">
        <v>19</v>
      </c>
      <c r="H14" s="25">
        <f>D14*F14*20</f>
        <v>1450</v>
      </c>
      <c r="I14" s="25">
        <f>E14*F14*20</f>
        <v>1650</v>
      </c>
      <c r="J14" s="24" t="s">
        <v>156</v>
      </c>
      <c r="K14" s="25">
        <f t="shared" si="1"/>
        <v>200</v>
      </c>
      <c r="L14" s="25">
        <f t="shared" si="2"/>
        <v>-1450</v>
      </c>
      <c r="M14" s="25"/>
      <c r="N14" s="27">
        <f t="shared" si="0"/>
        <v>-7882.567490566</v>
      </c>
      <c r="O14" s="28"/>
      <c r="P14" s="29"/>
      <c r="Q14" s="29"/>
    </row>
    <row r="15" s="2" customFormat="1" customHeight="1" spans="1:17">
      <c r="A15" s="29"/>
      <c r="B15" s="33"/>
      <c r="C15" s="34"/>
      <c r="D15" s="35"/>
      <c r="E15" s="37"/>
      <c r="F15" s="101" t="s">
        <v>70</v>
      </c>
      <c r="G15" s="29"/>
      <c r="H15" s="37">
        <f>SUM(H3:H14)</f>
        <v>6050.34</v>
      </c>
      <c r="I15" s="102">
        <f>SUM(I3:I14)</f>
        <v>8057</v>
      </c>
      <c r="J15" s="36"/>
      <c r="K15" s="37"/>
      <c r="L15" s="37"/>
      <c r="M15" s="37"/>
      <c r="N15" s="37"/>
      <c r="O15" s="47"/>
      <c r="P15" s="29"/>
      <c r="Q15" s="29"/>
    </row>
    <row r="16" s="2" customFormat="1" customHeight="1" spans="1:17">
      <c r="A16" s="29"/>
      <c r="B16" s="29"/>
      <c r="C16" s="34"/>
      <c r="D16" s="35"/>
      <c r="E16" s="37"/>
      <c r="F16" s="36"/>
      <c r="G16" s="29"/>
      <c r="H16" s="37"/>
      <c r="I16" s="37"/>
      <c r="J16" s="36" t="s">
        <v>71</v>
      </c>
      <c r="K16" s="35">
        <f>SUM(K3:K14)</f>
        <v>2006.66</v>
      </c>
      <c r="L16" s="37"/>
      <c r="M16" s="37"/>
      <c r="N16" s="37"/>
      <c r="O16" s="47"/>
      <c r="P16" s="29"/>
      <c r="Q16" s="29"/>
    </row>
    <row r="17" s="2" customFormat="1" customHeight="1" spans="1:17">
      <c r="A17" s="29"/>
      <c r="B17" s="29"/>
      <c r="C17" s="34"/>
      <c r="D17" s="35"/>
      <c r="E17" s="37"/>
      <c r="F17" s="36"/>
      <c r="G17" s="29"/>
      <c r="H17" s="37"/>
      <c r="I17" s="37"/>
      <c r="J17" s="36" t="s">
        <v>72</v>
      </c>
      <c r="K17" s="103">
        <f>K16/2</f>
        <v>1003.33</v>
      </c>
      <c r="L17" s="37">
        <f>-K17</f>
        <v>-1003.33</v>
      </c>
      <c r="M17" s="37"/>
      <c r="N17" s="104">
        <f>N14+L17</f>
        <v>-8885.897490566</v>
      </c>
      <c r="O17" s="105" t="s">
        <v>73</v>
      </c>
      <c r="P17" s="29"/>
      <c r="Q17" s="29"/>
    </row>
    <row r="18" s="2" customFormat="1" customHeight="1" spans="1:17">
      <c r="A18" s="29"/>
      <c r="B18" s="29"/>
      <c r="C18" s="34"/>
      <c r="D18" s="35"/>
      <c r="E18" s="37"/>
      <c r="F18" s="36"/>
      <c r="G18" s="29"/>
      <c r="H18" s="37"/>
      <c r="I18" s="37"/>
      <c r="J18" s="36"/>
      <c r="K18" s="37"/>
      <c r="L18" s="37"/>
      <c r="M18" s="37"/>
      <c r="N18" s="37"/>
      <c r="O18" s="47"/>
      <c r="P18" s="29"/>
      <c r="Q18" s="29"/>
    </row>
    <row r="19" s="2" customFormat="1" customHeight="1" spans="1:17">
      <c r="A19" s="29"/>
      <c r="B19" s="29"/>
      <c r="C19" s="29"/>
      <c r="D19" s="35"/>
      <c r="E19" s="37"/>
      <c r="F19" s="36"/>
      <c r="G19" s="29"/>
      <c r="H19" s="37"/>
      <c r="I19" s="37"/>
      <c r="J19" s="36"/>
      <c r="K19" s="37"/>
      <c r="L19" s="37"/>
      <c r="M19" s="37"/>
      <c r="N19" s="37"/>
      <c r="O19" s="47"/>
      <c r="P19" s="29"/>
      <c r="Q19" s="29"/>
    </row>
    <row r="20" s="2" customFormat="1" customHeight="1" spans="1:17">
      <c r="A20" s="29"/>
      <c r="B20" s="29"/>
      <c r="C20" s="29"/>
      <c r="D20" s="35"/>
      <c r="E20" s="37"/>
      <c r="F20" s="36"/>
      <c r="G20" s="29"/>
      <c r="H20" s="37"/>
      <c r="I20" s="37"/>
      <c r="J20" s="36"/>
      <c r="K20" s="37"/>
      <c r="L20" s="37"/>
      <c r="M20" s="37"/>
      <c r="N20" s="37"/>
      <c r="O20" s="47"/>
      <c r="P20" s="29"/>
      <c r="Q20" s="29"/>
    </row>
    <row r="21" s="2" customFormat="1" customHeight="1" spans="1:17">
      <c r="A21" s="29"/>
      <c r="B21" s="29"/>
      <c r="C21" s="29"/>
      <c r="D21" s="35"/>
      <c r="E21" s="37"/>
      <c r="F21" s="37"/>
      <c r="G21" s="37"/>
      <c r="H21" s="29"/>
      <c r="I21" s="37"/>
      <c r="J21" s="36"/>
      <c r="K21" s="29"/>
      <c r="L21" s="37"/>
      <c r="M21" s="37"/>
      <c r="N21" s="37"/>
      <c r="O21" s="47"/>
      <c r="P21" s="29"/>
      <c r="Q21" s="29"/>
    </row>
    <row r="22" s="2" customFormat="1" customHeight="1" spans="1:17">
      <c r="A22" s="29"/>
      <c r="B22" s="29"/>
      <c r="C22" s="34"/>
      <c r="D22" s="35"/>
      <c r="E22" s="37"/>
      <c r="F22" s="36"/>
      <c r="G22" s="29"/>
      <c r="H22" s="37"/>
      <c r="I22" s="37"/>
      <c r="J22" s="36"/>
      <c r="K22" s="37"/>
      <c r="L22" s="37"/>
      <c r="M22" s="37"/>
      <c r="N22" s="37"/>
      <c r="O22" s="47"/>
      <c r="P22" s="29"/>
      <c r="Q22" s="29"/>
    </row>
    <row r="23" s="2" customFormat="1" customHeight="1" spans="1:17">
      <c r="A23" s="29"/>
      <c r="B23" s="29"/>
      <c r="C23" s="34"/>
      <c r="D23" s="35"/>
      <c r="E23" s="37"/>
      <c r="F23" s="36"/>
      <c r="G23" s="29"/>
      <c r="H23" s="37"/>
      <c r="I23" s="37"/>
      <c r="J23" s="36"/>
      <c r="K23" s="37"/>
      <c r="L23" s="37"/>
      <c r="M23" s="37"/>
      <c r="N23" s="37"/>
      <c r="O23" s="47"/>
      <c r="P23" s="29"/>
      <c r="Q23" s="29"/>
    </row>
    <row r="24" s="2" customFormat="1" customHeight="1" spans="1:17">
      <c r="A24" s="29"/>
      <c r="B24" s="29"/>
      <c r="C24" s="34"/>
      <c r="D24" s="35"/>
      <c r="E24" s="37"/>
      <c r="F24" s="36"/>
      <c r="G24" s="29"/>
      <c r="H24" s="37"/>
      <c r="I24" s="37"/>
      <c r="J24" s="36"/>
      <c r="K24" s="37"/>
      <c r="L24" s="37"/>
      <c r="M24" s="37"/>
      <c r="N24" s="37"/>
      <c r="O24" s="47"/>
      <c r="P24" s="29"/>
      <c r="Q24" s="29"/>
    </row>
  </sheetData>
  <autoFilter xmlns:etc="http://www.wps.cn/officeDocument/2017/etCustomData" ref="B2:C21" etc:filterBottomFollowUsedRange="0">
    <extLst/>
  </autoFilter>
  <mergeCells count="2">
    <mergeCell ref="A1:J1"/>
    <mergeCell ref="F21:G21"/>
  </mergeCells>
  <pageMargins left="0.7" right="0.7" top="0.75" bottom="0.75" header="0.3" footer="0.3"/>
  <pageSetup paperSize="9" scale="75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D51"/>
  <sheetViews>
    <sheetView workbookViewId="0">
      <pane xSplit="3" ySplit="2" topLeftCell="D38" activePane="bottomRight" state="frozen"/>
      <selection/>
      <selection pane="topRight"/>
      <selection pane="bottomLeft"/>
      <selection pane="bottomRight" activeCell="O45" sqref="O45"/>
    </sheetView>
  </sheetViews>
  <sheetFormatPr defaultColWidth="9.06666666666667" defaultRowHeight="54" customHeight="1"/>
  <cols>
    <col min="1" max="1" width="8.125" style="3" hidden="1" customWidth="1"/>
    <col min="2" max="2" width="10.5" style="3" customWidth="1"/>
    <col min="3" max="3" width="26.5" style="65" customWidth="1"/>
    <col min="4" max="4" width="12.1333333333333" style="66" hidden="1" customWidth="1"/>
    <col min="5" max="5" width="8.75" style="3" customWidth="1"/>
    <col min="6" max="6" width="6.5" style="6" customWidth="1"/>
    <col min="7" max="7" width="6.5" style="3" customWidth="1"/>
    <col min="8" max="8" width="11.875" style="7" customWidth="1"/>
    <col min="9" max="9" width="8.75" style="7" customWidth="1"/>
    <col min="10" max="10" width="14.125" style="6" customWidth="1"/>
    <col min="11" max="11" width="10.375" style="5" customWidth="1"/>
    <col min="12" max="12" width="9.875" style="7" customWidth="1"/>
    <col min="13" max="13" width="10.375" style="7" customWidth="1"/>
    <col min="14" max="14" width="11.9333333333333" style="7" customWidth="1"/>
    <col min="15" max="15" width="24.125" style="67" customWidth="1"/>
    <col min="16" max="16384" width="9.06666666666667" style="3"/>
  </cols>
  <sheetData>
    <row r="1" customHeight="1" spans="1:16">
      <c r="A1" s="68" t="s">
        <v>157</v>
      </c>
      <c r="B1" s="68"/>
      <c r="C1" s="68"/>
      <c r="D1" s="68"/>
      <c r="E1" s="68"/>
      <c r="F1" s="68"/>
      <c r="G1" s="68"/>
      <c r="H1" s="70"/>
      <c r="I1" s="68"/>
      <c r="J1" s="68"/>
    </row>
    <row r="2" s="1" customFormat="1" ht="35.65" customHeight="1" spans="1:16">
      <c r="A2" s="14" t="s">
        <v>1</v>
      </c>
      <c r="B2" s="14" t="s">
        <v>2</v>
      </c>
      <c r="C2" s="71" t="s">
        <v>3</v>
      </c>
      <c r="D2" s="72" t="s">
        <v>4</v>
      </c>
      <c r="E2" s="17" t="s">
        <v>5</v>
      </c>
      <c r="F2" s="17" t="s">
        <v>6</v>
      </c>
      <c r="G2" s="14" t="s">
        <v>7</v>
      </c>
      <c r="H2" s="18" t="s">
        <v>8</v>
      </c>
      <c r="I2" s="18" t="s">
        <v>9</v>
      </c>
      <c r="J2" s="17" t="s">
        <v>10</v>
      </c>
      <c r="K2" s="16" t="s">
        <v>11</v>
      </c>
      <c r="L2" s="18" t="s">
        <v>12</v>
      </c>
      <c r="M2" s="18" t="s">
        <v>13</v>
      </c>
      <c r="N2" s="18" t="s">
        <v>14</v>
      </c>
      <c r="O2" s="73" t="s">
        <v>15</v>
      </c>
    </row>
    <row r="3" s="64" customFormat="1" customHeight="1" spans="1:16">
      <c r="A3" s="21"/>
      <c r="B3" s="21"/>
      <c r="C3" s="22" t="s">
        <v>158</v>
      </c>
      <c r="D3" s="25">
        <f t="shared" ref="D3:D13" si="0">H3/F3</f>
        <v>9.645</v>
      </c>
      <c r="E3" s="23">
        <v>13.5</v>
      </c>
      <c r="F3" s="24">
        <v>20</v>
      </c>
      <c r="G3" s="21" t="s">
        <v>76</v>
      </c>
      <c r="H3" s="25">
        <v>192.9</v>
      </c>
      <c r="I3" s="23">
        <f t="shared" ref="I3:I19" si="1">E3*F3</f>
        <v>270</v>
      </c>
      <c r="J3" s="24"/>
      <c r="K3" s="23">
        <f>I3-H3</f>
        <v>77.1</v>
      </c>
      <c r="L3" s="25">
        <f t="shared" ref="L3:L19" si="2">-H3</f>
        <v>-192.9</v>
      </c>
      <c r="M3" s="87">
        <v>-8885.897490566</v>
      </c>
      <c r="N3" s="25">
        <f>L3+M3</f>
        <v>-9078.797490566</v>
      </c>
      <c r="O3" s="74"/>
    </row>
    <row r="4" s="64" customFormat="1" customHeight="1" spans="1:16">
      <c r="A4" s="21"/>
      <c r="B4" s="21"/>
      <c r="C4" s="22" t="s">
        <v>159</v>
      </c>
      <c r="D4" s="23">
        <f t="shared" si="0"/>
        <v>2.32958333333333</v>
      </c>
      <c r="E4" s="23">
        <v>3</v>
      </c>
      <c r="F4" s="24">
        <v>24</v>
      </c>
      <c r="G4" s="21" t="s">
        <v>106</v>
      </c>
      <c r="H4" s="25">
        <v>55.91</v>
      </c>
      <c r="I4" s="23">
        <f t="shared" si="1"/>
        <v>72</v>
      </c>
      <c r="J4" s="24" t="s">
        <v>160</v>
      </c>
      <c r="K4" s="23">
        <f>I4-H4</f>
        <v>16.09</v>
      </c>
      <c r="L4" s="25">
        <f t="shared" si="2"/>
        <v>-55.91</v>
      </c>
      <c r="M4" s="25"/>
      <c r="N4" s="25">
        <f>N3+L4+M4</f>
        <v>-9134.707490566</v>
      </c>
      <c r="O4" s="74"/>
    </row>
    <row r="5" s="64" customFormat="1" customHeight="1" spans="1:16">
      <c r="A5" s="21"/>
      <c r="B5" s="21"/>
      <c r="C5" s="4" t="s">
        <v>161</v>
      </c>
      <c r="D5" s="23">
        <f t="shared" si="0"/>
        <v>0.3632</v>
      </c>
      <c r="E5" s="23">
        <v>0.5</v>
      </c>
      <c r="F5" s="24">
        <v>200</v>
      </c>
      <c r="G5" s="21" t="s">
        <v>162</v>
      </c>
      <c r="H5" s="23">
        <v>72.64</v>
      </c>
      <c r="I5" s="45">
        <f t="shared" si="1"/>
        <v>100</v>
      </c>
      <c r="J5" s="24"/>
      <c r="K5" s="23">
        <f t="shared" ref="K5:K19" si="3">I5-H5</f>
        <v>27.36</v>
      </c>
      <c r="L5" s="25">
        <f t="shared" si="2"/>
        <v>-72.64</v>
      </c>
      <c r="M5" s="25"/>
      <c r="N5" s="25">
        <f>N4+L5+M5</f>
        <v>-9207.347490566</v>
      </c>
      <c r="O5" s="74"/>
    </row>
    <row r="6" s="29" customFormat="1" customHeight="1" spans="1:16">
      <c r="A6" s="21"/>
      <c r="B6" s="21"/>
      <c r="C6" s="22" t="s">
        <v>163</v>
      </c>
      <c r="D6" s="23">
        <f t="shared" si="0"/>
        <v>12.9658333333333</v>
      </c>
      <c r="E6" s="23">
        <v>14.5</v>
      </c>
      <c r="F6" s="24">
        <v>12</v>
      </c>
      <c r="G6" s="21" t="s">
        <v>106</v>
      </c>
      <c r="H6" s="25">
        <v>155.59</v>
      </c>
      <c r="I6" s="23">
        <f t="shared" si="1"/>
        <v>174</v>
      </c>
      <c r="J6" s="24"/>
      <c r="K6" s="23">
        <f t="shared" si="3"/>
        <v>18.41</v>
      </c>
      <c r="L6" s="25">
        <f t="shared" si="2"/>
        <v>-155.59</v>
      </c>
      <c r="M6" s="25"/>
      <c r="N6" s="25">
        <f t="shared" ref="N6:N42" si="4">N5+L6+M6</f>
        <v>-9362.937490566</v>
      </c>
      <c r="O6" s="74"/>
    </row>
    <row r="7" s="29" customFormat="1" customHeight="1" spans="1:16">
      <c r="A7" s="21"/>
      <c r="B7" s="21"/>
      <c r="C7" s="22" t="s">
        <v>164</v>
      </c>
      <c r="D7" s="31">
        <f t="shared" si="0"/>
        <v>0.56</v>
      </c>
      <c r="E7" s="21">
        <v>0.8</v>
      </c>
      <c r="F7" s="24">
        <v>24</v>
      </c>
      <c r="G7" s="21" t="s">
        <v>55</v>
      </c>
      <c r="H7" s="25">
        <v>13.44</v>
      </c>
      <c r="I7" s="25">
        <f t="shared" si="1"/>
        <v>19.2</v>
      </c>
      <c r="J7" s="24"/>
      <c r="K7" s="23">
        <f t="shared" si="3"/>
        <v>5.76</v>
      </c>
      <c r="L7" s="25">
        <f t="shared" si="2"/>
        <v>-13.44</v>
      </c>
      <c r="M7" s="25"/>
      <c r="N7" s="25">
        <f t="shared" si="4"/>
        <v>-9376.377490566</v>
      </c>
      <c r="O7" s="22"/>
      <c r="P7" s="89"/>
    </row>
    <row r="8" s="29" customFormat="1" customHeight="1" spans="1:16">
      <c r="A8" s="21"/>
      <c r="B8" s="21"/>
      <c r="C8" s="22" t="s">
        <v>165</v>
      </c>
      <c r="D8" s="31">
        <f t="shared" si="0"/>
        <v>0.33225</v>
      </c>
      <c r="E8" s="31">
        <v>0.8</v>
      </c>
      <c r="F8" s="24">
        <v>120</v>
      </c>
      <c r="G8" s="21" t="s">
        <v>106</v>
      </c>
      <c r="H8" s="25">
        <v>39.87</v>
      </c>
      <c r="I8" s="25">
        <f t="shared" si="1"/>
        <v>96</v>
      </c>
      <c r="J8" s="24"/>
      <c r="K8" s="23">
        <f t="shared" si="3"/>
        <v>56.13</v>
      </c>
      <c r="L8" s="25">
        <f t="shared" si="2"/>
        <v>-39.87</v>
      </c>
      <c r="M8" s="25"/>
      <c r="N8" s="25">
        <f t="shared" si="4"/>
        <v>-9416.247490566</v>
      </c>
      <c r="O8" s="74"/>
      <c r="P8" s="89"/>
    </row>
    <row r="9" s="29" customFormat="1" customHeight="1" spans="1:16">
      <c r="A9" s="21"/>
      <c r="B9" s="30"/>
      <c r="C9" s="22" t="s">
        <v>166</v>
      </c>
      <c r="D9" s="31">
        <f t="shared" si="0"/>
        <v>2.41033333333333</v>
      </c>
      <c r="E9" s="23">
        <v>3</v>
      </c>
      <c r="F9" s="24">
        <v>120</v>
      </c>
      <c r="G9" s="21" t="s">
        <v>58</v>
      </c>
      <c r="H9" s="25">
        <v>289.24</v>
      </c>
      <c r="I9" s="23">
        <f t="shared" si="1"/>
        <v>360</v>
      </c>
      <c r="J9" s="24"/>
      <c r="K9" s="23">
        <f t="shared" si="3"/>
        <v>70.76</v>
      </c>
      <c r="L9" s="25">
        <f t="shared" si="2"/>
        <v>-289.24</v>
      </c>
      <c r="M9" s="25"/>
      <c r="N9" s="25">
        <f t="shared" si="4"/>
        <v>-9705.487490566</v>
      </c>
      <c r="O9" s="74"/>
    </row>
    <row r="10" s="29" customFormat="1" customHeight="1" spans="1:16">
      <c r="A10" s="21"/>
      <c r="B10" s="30"/>
      <c r="C10" s="22" t="s">
        <v>167</v>
      </c>
      <c r="D10" s="31">
        <f t="shared" si="0"/>
        <v>10.052</v>
      </c>
      <c r="E10" s="23">
        <v>14.8</v>
      </c>
      <c r="F10" s="24">
        <v>5</v>
      </c>
      <c r="G10" s="21" t="s">
        <v>88</v>
      </c>
      <c r="H10" s="25">
        <v>50.26</v>
      </c>
      <c r="I10" s="25">
        <f t="shared" si="1"/>
        <v>74</v>
      </c>
      <c r="J10" s="24"/>
      <c r="K10" s="23">
        <f t="shared" si="3"/>
        <v>23.74</v>
      </c>
      <c r="L10" s="25">
        <f t="shared" si="2"/>
        <v>-50.26</v>
      </c>
      <c r="M10" s="25"/>
      <c r="N10" s="25">
        <f t="shared" si="4"/>
        <v>-9755.747490566</v>
      </c>
      <c r="O10" s="74"/>
    </row>
    <row r="11" s="29" customFormat="1" customHeight="1" spans="1:16">
      <c r="A11" s="21"/>
      <c r="B11" s="30"/>
      <c r="C11" s="22" t="s">
        <v>168</v>
      </c>
      <c r="D11" s="31">
        <f t="shared" si="0"/>
        <v>12.502</v>
      </c>
      <c r="E11" s="25">
        <v>14.8</v>
      </c>
      <c r="F11" s="24">
        <v>5</v>
      </c>
      <c r="G11" s="21" t="s">
        <v>88</v>
      </c>
      <c r="H11" s="25">
        <v>62.51</v>
      </c>
      <c r="I11" s="25">
        <f t="shared" si="1"/>
        <v>74</v>
      </c>
      <c r="J11" s="24"/>
      <c r="K11" s="23">
        <f t="shared" si="3"/>
        <v>11.49</v>
      </c>
      <c r="L11" s="25">
        <f t="shared" si="2"/>
        <v>-62.51</v>
      </c>
      <c r="M11" s="25"/>
      <c r="N11" s="25">
        <f t="shared" si="4"/>
        <v>-9818.257490566</v>
      </c>
      <c r="O11" s="74"/>
    </row>
    <row r="12" s="29" customFormat="1" customHeight="1" spans="1:16">
      <c r="A12" s="21"/>
      <c r="B12" s="30"/>
      <c r="C12" s="22" t="s">
        <v>169</v>
      </c>
      <c r="D12" s="31">
        <f t="shared" si="0"/>
        <v>7.0904</v>
      </c>
      <c r="E12" s="23">
        <v>8.5</v>
      </c>
      <c r="F12" s="24">
        <v>50</v>
      </c>
      <c r="G12" s="21" t="s">
        <v>88</v>
      </c>
      <c r="H12" s="25">
        <v>354.52</v>
      </c>
      <c r="I12" s="25">
        <f t="shared" si="1"/>
        <v>425</v>
      </c>
      <c r="J12" s="24"/>
      <c r="K12" s="23">
        <f t="shared" si="3"/>
        <v>70.48</v>
      </c>
      <c r="L12" s="25">
        <f t="shared" si="2"/>
        <v>-354.52</v>
      </c>
      <c r="M12" s="25"/>
      <c r="N12" s="25">
        <f t="shared" si="4"/>
        <v>-10172.777490566</v>
      </c>
      <c r="O12" s="74"/>
    </row>
    <row r="13" s="29" customFormat="1" customHeight="1" spans="1:16">
      <c r="A13" s="21"/>
      <c r="B13" s="30"/>
      <c r="C13" s="22" t="s">
        <v>170</v>
      </c>
      <c r="D13" s="31">
        <f t="shared" si="0"/>
        <v>6.305</v>
      </c>
      <c r="E13" s="23">
        <v>7.5</v>
      </c>
      <c r="F13" s="24">
        <v>10</v>
      </c>
      <c r="G13" s="21" t="s">
        <v>55</v>
      </c>
      <c r="H13" s="25">
        <v>63.05</v>
      </c>
      <c r="I13" s="25">
        <f t="shared" si="1"/>
        <v>75</v>
      </c>
      <c r="J13" s="24"/>
      <c r="K13" s="23">
        <f t="shared" si="3"/>
        <v>11.95</v>
      </c>
      <c r="L13" s="25">
        <f t="shared" si="2"/>
        <v>-63.05</v>
      </c>
      <c r="M13" s="25"/>
      <c r="N13" s="25">
        <f t="shared" si="4"/>
        <v>-10235.827490566</v>
      </c>
      <c r="O13" s="74"/>
    </row>
    <row r="14" s="29" customFormat="1" customHeight="1" spans="1:16">
      <c r="A14" s="21"/>
      <c r="B14" s="30"/>
      <c r="C14" s="22" t="s">
        <v>171</v>
      </c>
      <c r="D14" s="31">
        <f>H14/5</f>
        <v>8.524</v>
      </c>
      <c r="E14" s="23">
        <v>9.9</v>
      </c>
      <c r="F14" s="24">
        <v>5</v>
      </c>
      <c r="G14" s="21" t="s">
        <v>88</v>
      </c>
      <c r="H14" s="25">
        <v>42.62</v>
      </c>
      <c r="I14" s="25">
        <f t="shared" si="1"/>
        <v>49.5</v>
      </c>
      <c r="J14" s="24"/>
      <c r="K14" s="23">
        <f t="shared" si="3"/>
        <v>6.88</v>
      </c>
      <c r="L14" s="25">
        <f t="shared" si="2"/>
        <v>-42.62</v>
      </c>
      <c r="M14" s="25"/>
      <c r="N14" s="25">
        <f t="shared" si="4"/>
        <v>-10278.447490566</v>
      </c>
      <c r="O14" s="74"/>
    </row>
    <row r="15" s="29" customFormat="1" customHeight="1" spans="1:16">
      <c r="A15" s="21"/>
      <c r="B15" s="21"/>
      <c r="C15" s="21" t="s">
        <v>172</v>
      </c>
      <c r="D15" s="31">
        <f>H15/F15</f>
        <v>16.1876666666667</v>
      </c>
      <c r="E15" s="23">
        <v>18</v>
      </c>
      <c r="F15" s="24">
        <v>30</v>
      </c>
      <c r="G15" s="21" t="s">
        <v>55</v>
      </c>
      <c r="H15" s="25">
        <f>40.9+444.73</f>
        <v>485.63</v>
      </c>
      <c r="I15" s="25">
        <f t="shared" si="1"/>
        <v>540</v>
      </c>
      <c r="J15" s="24"/>
      <c r="K15" s="23">
        <f t="shared" si="3"/>
        <v>54.37</v>
      </c>
      <c r="L15" s="25">
        <f t="shared" si="2"/>
        <v>-485.63</v>
      </c>
      <c r="M15" s="25"/>
      <c r="N15" s="25">
        <f t="shared" si="4"/>
        <v>-10764.077490566</v>
      </c>
      <c r="O15" s="74"/>
    </row>
    <row r="16" s="29" customFormat="1" customHeight="1" spans="1:16">
      <c r="A16" s="21"/>
      <c r="B16" s="21"/>
      <c r="C16" s="21" t="s">
        <v>173</v>
      </c>
      <c r="D16" s="31">
        <f>H16/F16</f>
        <v>6.54</v>
      </c>
      <c r="E16" s="23">
        <v>7</v>
      </c>
      <c r="F16" s="24">
        <v>1</v>
      </c>
      <c r="G16" s="21" t="s">
        <v>55</v>
      </c>
      <c r="H16" s="25">
        <v>6.54</v>
      </c>
      <c r="I16" s="25">
        <f t="shared" si="1"/>
        <v>7</v>
      </c>
      <c r="J16" s="24"/>
      <c r="K16" s="23">
        <f t="shared" si="3"/>
        <v>0.46</v>
      </c>
      <c r="L16" s="25">
        <f t="shared" si="2"/>
        <v>-6.54</v>
      </c>
      <c r="M16" s="25"/>
      <c r="N16" s="25">
        <f t="shared" si="4"/>
        <v>-10770.617490566</v>
      </c>
      <c r="O16" s="74"/>
    </row>
    <row r="17" s="29" customFormat="1" customHeight="1" spans="1:15">
      <c r="A17" s="21"/>
      <c r="B17" s="30"/>
      <c r="C17" s="22" t="s">
        <v>174</v>
      </c>
      <c r="D17" s="31">
        <f>H17/F17</f>
        <v>2.22</v>
      </c>
      <c r="E17" s="23">
        <v>3</v>
      </c>
      <c r="F17" s="24">
        <v>16</v>
      </c>
      <c r="G17" s="21" t="s">
        <v>52</v>
      </c>
      <c r="H17" s="31">
        <v>35.52</v>
      </c>
      <c r="I17" s="25">
        <f t="shared" si="1"/>
        <v>48</v>
      </c>
      <c r="J17" s="24"/>
      <c r="K17" s="23">
        <f t="shared" si="3"/>
        <v>12.48</v>
      </c>
      <c r="L17" s="25">
        <f t="shared" si="2"/>
        <v>-35.52</v>
      </c>
      <c r="M17" s="25"/>
      <c r="N17" s="25">
        <f t="shared" si="4"/>
        <v>-10806.137490566</v>
      </c>
      <c r="O17" s="74"/>
    </row>
    <row r="18" s="29" customFormat="1" customHeight="1" spans="1:15">
      <c r="A18" s="21"/>
      <c r="B18" s="30"/>
      <c r="C18" s="22" t="s">
        <v>175</v>
      </c>
      <c r="D18" s="31">
        <f>H18/F18</f>
        <v>9.6075</v>
      </c>
      <c r="E18" s="23">
        <v>12</v>
      </c>
      <c r="F18" s="24">
        <v>4</v>
      </c>
      <c r="G18" s="21" t="s">
        <v>55</v>
      </c>
      <c r="H18" s="31">
        <v>38.43</v>
      </c>
      <c r="I18" s="25">
        <f t="shared" si="1"/>
        <v>48</v>
      </c>
      <c r="J18" s="24"/>
      <c r="K18" s="23">
        <f t="shared" si="3"/>
        <v>9.57</v>
      </c>
      <c r="L18" s="25">
        <f t="shared" si="2"/>
        <v>-38.43</v>
      </c>
      <c r="M18" s="25"/>
      <c r="N18" s="25">
        <f t="shared" si="4"/>
        <v>-10844.567490566</v>
      </c>
      <c r="O18" s="74"/>
    </row>
    <row r="19" s="29" customFormat="1" customHeight="1" spans="1:15">
      <c r="A19" s="21"/>
      <c r="B19" s="30"/>
      <c r="C19" s="22" t="s">
        <v>176</v>
      </c>
      <c r="D19" s="31">
        <f>H19/F19</f>
        <v>0.6221</v>
      </c>
      <c r="E19" s="23">
        <v>0.8</v>
      </c>
      <c r="F19" s="24">
        <v>200</v>
      </c>
      <c r="G19" s="21" t="s">
        <v>55</v>
      </c>
      <c r="H19" s="31">
        <v>124.42</v>
      </c>
      <c r="I19" s="25">
        <f t="shared" si="1"/>
        <v>160</v>
      </c>
      <c r="J19" s="24"/>
      <c r="K19" s="23">
        <f t="shared" si="3"/>
        <v>35.58</v>
      </c>
      <c r="L19" s="25">
        <f t="shared" si="2"/>
        <v>-124.42</v>
      </c>
      <c r="M19" s="25"/>
      <c r="N19" s="25">
        <f t="shared" si="4"/>
        <v>-10968.987490566</v>
      </c>
      <c r="O19" s="74"/>
    </row>
    <row r="20" s="29" customFormat="1" customHeight="1" spans="1:15">
      <c r="A20" s="21"/>
      <c r="B20" s="30"/>
      <c r="C20" s="22" t="s">
        <v>177</v>
      </c>
      <c r="D20" s="31">
        <f t="shared" ref="D20:D28" si="5">H20/F20</f>
        <v>37.326</v>
      </c>
      <c r="E20" s="23">
        <v>42</v>
      </c>
      <c r="F20" s="24">
        <v>10</v>
      </c>
      <c r="G20" s="21" t="s">
        <v>55</v>
      </c>
      <c r="H20" s="31">
        <v>373.26</v>
      </c>
      <c r="I20" s="25">
        <f t="shared" ref="I20:I28" si="6">E20*F20</f>
        <v>420</v>
      </c>
      <c r="J20" s="24"/>
      <c r="K20" s="23">
        <f t="shared" ref="K20:K29" si="7">I20-H20</f>
        <v>46.74</v>
      </c>
      <c r="L20" s="25">
        <f t="shared" ref="L20:L27" si="8">-H20</f>
        <v>-373.26</v>
      </c>
      <c r="M20" s="25"/>
      <c r="N20" s="25">
        <f t="shared" si="4"/>
        <v>-11342.247490566</v>
      </c>
      <c r="O20" s="74"/>
    </row>
    <row r="21" s="29" customFormat="1" customHeight="1" spans="1:15">
      <c r="A21" s="21"/>
      <c r="B21" s="30"/>
      <c r="C21" s="22" t="s">
        <v>178</v>
      </c>
      <c r="D21" s="31">
        <f t="shared" si="5"/>
        <v>61.32</v>
      </c>
      <c r="E21" s="23">
        <v>71</v>
      </c>
      <c r="F21" s="24">
        <v>5</v>
      </c>
      <c r="G21" s="21" t="s">
        <v>55</v>
      </c>
      <c r="H21" s="31">
        <v>306.6</v>
      </c>
      <c r="I21" s="25">
        <f t="shared" si="6"/>
        <v>355</v>
      </c>
      <c r="J21" s="24"/>
      <c r="K21" s="23">
        <f t="shared" si="7"/>
        <v>48.4</v>
      </c>
      <c r="L21" s="25">
        <f t="shared" si="8"/>
        <v>-306.6</v>
      </c>
      <c r="M21" s="25"/>
      <c r="N21" s="25">
        <f t="shared" si="4"/>
        <v>-11648.847490566</v>
      </c>
      <c r="O21" s="74"/>
    </row>
    <row r="22" s="29" customFormat="1" customHeight="1" spans="1:15">
      <c r="A22" s="21"/>
      <c r="B22" s="30"/>
      <c r="C22" s="22" t="s">
        <v>179</v>
      </c>
      <c r="D22" s="31">
        <f t="shared" si="5"/>
        <v>3.96666666666667</v>
      </c>
      <c r="E22" s="23">
        <v>5</v>
      </c>
      <c r="F22" s="24">
        <v>30</v>
      </c>
      <c r="G22" s="21" t="s">
        <v>55</v>
      </c>
      <c r="H22" s="25">
        <v>119</v>
      </c>
      <c r="I22" s="25">
        <f t="shared" si="6"/>
        <v>150</v>
      </c>
      <c r="J22" s="24"/>
      <c r="K22" s="23">
        <f t="shared" si="7"/>
        <v>31</v>
      </c>
      <c r="L22" s="25">
        <f t="shared" si="8"/>
        <v>-119</v>
      </c>
      <c r="M22" s="25"/>
      <c r="N22" s="25">
        <f t="shared" si="4"/>
        <v>-11767.847490566</v>
      </c>
      <c r="O22" s="74"/>
    </row>
    <row r="23" s="29" customFormat="1" customHeight="1" spans="1:15">
      <c r="A23" s="21"/>
      <c r="B23" s="30"/>
      <c r="C23" s="22" t="s">
        <v>180</v>
      </c>
      <c r="D23" s="31">
        <f t="shared" si="5"/>
        <v>4.37833333333333</v>
      </c>
      <c r="E23" s="23">
        <v>5.5</v>
      </c>
      <c r="F23" s="24">
        <v>6</v>
      </c>
      <c r="G23" s="21" t="s">
        <v>55</v>
      </c>
      <c r="H23" s="25">
        <v>26.27</v>
      </c>
      <c r="I23" s="25">
        <f t="shared" si="6"/>
        <v>33</v>
      </c>
      <c r="J23" s="24"/>
      <c r="K23" s="23">
        <f t="shared" si="7"/>
        <v>6.73</v>
      </c>
      <c r="L23" s="25">
        <f t="shared" si="8"/>
        <v>-26.27</v>
      </c>
      <c r="M23" s="25"/>
      <c r="N23" s="25">
        <f t="shared" si="4"/>
        <v>-11794.117490566</v>
      </c>
      <c r="O23" s="74"/>
    </row>
    <row r="24" s="29" customFormat="1" customHeight="1" spans="1:15">
      <c r="A24" s="21"/>
      <c r="B24" s="30"/>
      <c r="C24" s="22" t="s">
        <v>181</v>
      </c>
      <c r="D24" s="31">
        <f t="shared" si="5"/>
        <v>2.025</v>
      </c>
      <c r="E24" s="25">
        <v>2.5</v>
      </c>
      <c r="F24" s="24">
        <v>2</v>
      </c>
      <c r="G24" s="21" t="s">
        <v>55</v>
      </c>
      <c r="H24" s="25">
        <v>4.05</v>
      </c>
      <c r="I24" s="25">
        <f t="shared" si="6"/>
        <v>5</v>
      </c>
      <c r="J24" s="24"/>
      <c r="K24" s="23">
        <f t="shared" si="7"/>
        <v>0.95</v>
      </c>
      <c r="L24" s="25">
        <f t="shared" si="8"/>
        <v>-4.05</v>
      </c>
      <c r="M24" s="25"/>
      <c r="N24" s="25">
        <f t="shared" si="4"/>
        <v>-11798.167490566</v>
      </c>
      <c r="O24" s="74"/>
    </row>
    <row r="25" s="29" customFormat="1" customHeight="1" spans="1:15">
      <c r="A25" s="21"/>
      <c r="B25" s="21"/>
      <c r="C25" s="22" t="s">
        <v>182</v>
      </c>
      <c r="D25" s="31">
        <f t="shared" si="5"/>
        <v>23.62</v>
      </c>
      <c r="E25" s="25">
        <v>24</v>
      </c>
      <c r="F25" s="24">
        <v>1</v>
      </c>
      <c r="G25" s="21" t="s">
        <v>55</v>
      </c>
      <c r="H25" s="25">
        <v>23.62</v>
      </c>
      <c r="I25" s="25">
        <f t="shared" si="6"/>
        <v>24</v>
      </c>
      <c r="J25" s="24"/>
      <c r="K25" s="23">
        <f t="shared" si="7"/>
        <v>0.379999999999999</v>
      </c>
      <c r="L25" s="25">
        <f t="shared" si="8"/>
        <v>-23.62</v>
      </c>
      <c r="M25" s="25"/>
      <c r="N25" s="25">
        <f t="shared" si="4"/>
        <v>-11821.787490566</v>
      </c>
      <c r="O25" s="74"/>
    </row>
    <row r="26" s="64" customFormat="1" customHeight="1" spans="1:15">
      <c r="A26" s="21"/>
      <c r="B26" s="21"/>
      <c r="C26" s="22" t="s">
        <v>183</v>
      </c>
      <c r="D26" s="31">
        <f t="shared" si="5"/>
        <v>3.31</v>
      </c>
      <c r="E26" s="23">
        <v>4</v>
      </c>
      <c r="F26" s="24">
        <v>100</v>
      </c>
      <c r="G26" s="21" t="s">
        <v>55</v>
      </c>
      <c r="H26" s="23">
        <v>331</v>
      </c>
      <c r="I26" s="25">
        <f t="shared" si="6"/>
        <v>400</v>
      </c>
      <c r="J26" s="24"/>
      <c r="K26" s="23">
        <f t="shared" si="7"/>
        <v>69</v>
      </c>
      <c r="L26" s="25">
        <f t="shared" si="8"/>
        <v>-331</v>
      </c>
      <c r="M26" s="25"/>
      <c r="N26" s="25">
        <f t="shared" si="4"/>
        <v>-12152.787490566</v>
      </c>
      <c r="O26" s="74"/>
    </row>
    <row r="27" s="29" customFormat="1" customHeight="1" spans="1:15">
      <c r="A27" s="21"/>
      <c r="B27" s="21"/>
      <c r="C27" s="22" t="s">
        <v>184</v>
      </c>
      <c r="D27" s="31">
        <f t="shared" si="5"/>
        <v>3.31</v>
      </c>
      <c r="E27" s="23">
        <v>4.6</v>
      </c>
      <c r="F27" s="24">
        <v>100</v>
      </c>
      <c r="G27" s="21" t="s">
        <v>55</v>
      </c>
      <c r="H27" s="23">
        <v>331</v>
      </c>
      <c r="I27" s="25">
        <f t="shared" si="6"/>
        <v>460</v>
      </c>
      <c r="J27" s="24"/>
      <c r="K27" s="23">
        <f t="shared" si="7"/>
        <v>129</v>
      </c>
      <c r="L27" s="25">
        <f t="shared" si="8"/>
        <v>-331</v>
      </c>
      <c r="M27" s="25"/>
      <c r="N27" s="25">
        <f t="shared" si="4"/>
        <v>-12483.787490566</v>
      </c>
      <c r="O27" s="74"/>
    </row>
    <row r="28" s="29" customFormat="1" customHeight="1" spans="1:15">
      <c r="A28" s="21"/>
      <c r="B28" s="21"/>
      <c r="C28" s="22" t="s">
        <v>185</v>
      </c>
      <c r="D28" s="31">
        <f t="shared" si="5"/>
        <v>10.6825</v>
      </c>
      <c r="E28" s="25">
        <v>18</v>
      </c>
      <c r="F28" s="24">
        <v>4</v>
      </c>
      <c r="G28" s="21" t="s">
        <v>19</v>
      </c>
      <c r="H28" s="31">
        <f>20.86+21.87</f>
        <v>42.73</v>
      </c>
      <c r="I28" s="25">
        <f t="shared" si="6"/>
        <v>72</v>
      </c>
      <c r="J28" s="24"/>
      <c r="K28" s="23">
        <f t="shared" ref="K28:K42" si="9">I28-H28</f>
        <v>29.27</v>
      </c>
      <c r="L28" s="25">
        <f t="shared" ref="L28:L42" si="10">-H28</f>
        <v>-42.73</v>
      </c>
      <c r="M28" s="25"/>
      <c r="N28" s="25">
        <f t="shared" si="4"/>
        <v>-12526.517490566</v>
      </c>
      <c r="O28" s="74"/>
    </row>
    <row r="29" s="29" customFormat="1" customHeight="1" spans="1:15">
      <c r="A29" s="21"/>
      <c r="B29" s="21"/>
      <c r="C29" s="21" t="s">
        <v>186</v>
      </c>
      <c r="D29" s="31">
        <f>H29/80</f>
        <v>5.73675</v>
      </c>
      <c r="E29" s="23">
        <v>9</v>
      </c>
      <c r="F29" s="24">
        <v>1</v>
      </c>
      <c r="G29" s="21" t="s">
        <v>19</v>
      </c>
      <c r="H29" s="25">
        <f>184.54+274.4</f>
        <v>458.94</v>
      </c>
      <c r="I29" s="23">
        <f>E29*80</f>
        <v>720</v>
      </c>
      <c r="J29" s="24" t="s">
        <v>187</v>
      </c>
      <c r="K29" s="23">
        <f t="shared" si="9"/>
        <v>261.06</v>
      </c>
      <c r="L29" s="25">
        <f t="shared" si="10"/>
        <v>-458.94</v>
      </c>
      <c r="M29" s="25"/>
      <c r="N29" s="25">
        <f t="shared" si="4"/>
        <v>-12985.457490566</v>
      </c>
      <c r="O29" s="74"/>
    </row>
    <row r="30" s="29" customFormat="1" customHeight="1" spans="1:15">
      <c r="A30" s="21"/>
      <c r="B30" s="21"/>
      <c r="C30" s="21" t="s">
        <v>188</v>
      </c>
      <c r="D30" s="31">
        <f>H30/80</f>
        <v>5.76675</v>
      </c>
      <c r="E30" s="23">
        <v>9</v>
      </c>
      <c r="F30" s="24">
        <v>1</v>
      </c>
      <c r="G30" s="21" t="s">
        <v>19</v>
      </c>
      <c r="H30" s="31">
        <v>461.34</v>
      </c>
      <c r="I30" s="23">
        <f>E30*80</f>
        <v>720</v>
      </c>
      <c r="J30" s="24" t="s">
        <v>187</v>
      </c>
      <c r="K30" s="23">
        <f t="shared" si="9"/>
        <v>258.66</v>
      </c>
      <c r="L30" s="25">
        <f t="shared" si="10"/>
        <v>-461.34</v>
      </c>
      <c r="M30" s="25"/>
      <c r="N30" s="25">
        <f t="shared" si="4"/>
        <v>-13446.797490566</v>
      </c>
      <c r="O30" s="74"/>
    </row>
    <row r="31" s="29" customFormat="1" customHeight="1" spans="1:15">
      <c r="A31" s="21"/>
      <c r="B31" s="21"/>
      <c r="C31" s="21" t="s">
        <v>189</v>
      </c>
      <c r="D31" s="31">
        <f>H31/80</f>
        <v>5.76675</v>
      </c>
      <c r="E31" s="23">
        <v>9</v>
      </c>
      <c r="F31" s="24">
        <v>1</v>
      </c>
      <c r="G31" s="21" t="s">
        <v>19</v>
      </c>
      <c r="H31" s="31">
        <v>461.34</v>
      </c>
      <c r="I31" s="23">
        <f>E31*80</f>
        <v>720</v>
      </c>
      <c r="J31" s="24" t="s">
        <v>187</v>
      </c>
      <c r="K31" s="23">
        <f t="shared" si="9"/>
        <v>258.66</v>
      </c>
      <c r="L31" s="25">
        <f t="shared" si="10"/>
        <v>-461.34</v>
      </c>
      <c r="M31" s="25"/>
      <c r="N31" s="25">
        <f t="shared" si="4"/>
        <v>-13908.137490566</v>
      </c>
      <c r="O31" s="74"/>
    </row>
    <row r="32" s="29" customFormat="1" customHeight="1" spans="1:15">
      <c r="A32" s="21"/>
      <c r="B32" s="21"/>
      <c r="C32" s="21" t="s">
        <v>190</v>
      </c>
      <c r="D32" s="31">
        <f>H32/F32</f>
        <v>1.608</v>
      </c>
      <c r="E32" s="21">
        <v>2</v>
      </c>
      <c r="F32" s="24">
        <v>20</v>
      </c>
      <c r="G32" s="21" t="s">
        <v>52</v>
      </c>
      <c r="H32" s="31">
        <v>32.16</v>
      </c>
      <c r="I32" s="21">
        <f>E32*F32</f>
        <v>40</v>
      </c>
      <c r="J32" s="24"/>
      <c r="K32" s="23">
        <f t="shared" si="9"/>
        <v>7.84</v>
      </c>
      <c r="L32" s="25">
        <f t="shared" si="10"/>
        <v>-32.16</v>
      </c>
      <c r="M32" s="25"/>
      <c r="N32" s="25">
        <f t="shared" si="4"/>
        <v>-13940.297490566</v>
      </c>
      <c r="O32" s="74"/>
    </row>
    <row r="33" s="29" customFormat="1" customHeight="1" spans="1:30">
      <c r="A33" s="21"/>
      <c r="B33" s="21"/>
      <c r="C33" s="22" t="s">
        <v>191</v>
      </c>
      <c r="D33" s="31">
        <f>H33/F33</f>
        <v>17.7866666666667</v>
      </c>
      <c r="E33" s="21">
        <v>31</v>
      </c>
      <c r="F33" s="24">
        <v>6</v>
      </c>
      <c r="G33" s="21" t="s">
        <v>192</v>
      </c>
      <c r="H33" s="31">
        <v>106.72</v>
      </c>
      <c r="I33" s="25">
        <f>F33*E33</f>
        <v>186</v>
      </c>
      <c r="J33" s="24"/>
      <c r="K33" s="23">
        <f t="shared" si="9"/>
        <v>79.28</v>
      </c>
      <c r="L33" s="25">
        <f t="shared" si="10"/>
        <v>-106.72</v>
      </c>
      <c r="M33" s="25"/>
      <c r="N33" s="25">
        <f t="shared" si="4"/>
        <v>-14047.017490566</v>
      </c>
      <c r="O33" s="74"/>
    </row>
    <row r="34" s="29" customFormat="1" customHeight="1" spans="1:30">
      <c r="A34" s="21"/>
      <c r="B34" s="21"/>
      <c r="C34" s="22" t="s">
        <v>163</v>
      </c>
      <c r="D34" s="31">
        <f>H34/F34</f>
        <v>12.1633333333333</v>
      </c>
      <c r="E34" s="23">
        <v>14.5</v>
      </c>
      <c r="F34" s="24">
        <v>30</v>
      </c>
      <c r="G34" s="21" t="s">
        <v>106</v>
      </c>
      <c r="H34" s="31">
        <f>243.27+121.63</f>
        <v>364.9</v>
      </c>
      <c r="I34" s="25">
        <f>F34*E34</f>
        <v>435</v>
      </c>
      <c r="J34" s="24"/>
      <c r="K34" s="23">
        <f t="shared" si="9"/>
        <v>70.1</v>
      </c>
      <c r="L34" s="25">
        <f t="shared" si="10"/>
        <v>-364.9</v>
      </c>
      <c r="M34" s="25"/>
      <c r="N34" s="25">
        <f t="shared" si="4"/>
        <v>-14411.917490566</v>
      </c>
      <c r="O34" s="74"/>
    </row>
    <row r="35" s="64" customFormat="1" customHeight="1" spans="1:30">
      <c r="A35" s="21"/>
      <c r="B35" s="21"/>
      <c r="C35" s="22" t="s">
        <v>193</v>
      </c>
      <c r="D35" s="23">
        <f>H35/F35</f>
        <v>11.8525</v>
      </c>
      <c r="E35" s="23">
        <v>16.5</v>
      </c>
      <c r="F35" s="24">
        <v>12</v>
      </c>
      <c r="G35" s="21" t="s">
        <v>52</v>
      </c>
      <c r="H35" s="25">
        <v>142.23</v>
      </c>
      <c r="I35" s="25">
        <f>E35*F35</f>
        <v>198</v>
      </c>
      <c r="J35" s="24"/>
      <c r="K35" s="23">
        <f t="shared" si="9"/>
        <v>55.77</v>
      </c>
      <c r="L35" s="25">
        <f t="shared" si="10"/>
        <v>-142.23</v>
      </c>
      <c r="M35" s="25"/>
      <c r="N35" s="25">
        <f t="shared" si="4"/>
        <v>-14554.147490566</v>
      </c>
      <c r="O35" s="74"/>
    </row>
    <row r="36" s="64" customFormat="1" customHeight="1" spans="1:30">
      <c r="A36" s="21"/>
      <c r="B36" s="21"/>
      <c r="C36" s="22" t="s">
        <v>194</v>
      </c>
      <c r="D36" s="23">
        <v>66.8</v>
      </c>
      <c r="E36" s="23">
        <v>70</v>
      </c>
      <c r="F36" s="24">
        <v>3</v>
      </c>
      <c r="G36" s="21" t="s">
        <v>19</v>
      </c>
      <c r="H36" s="96">
        <f>D36*F36</f>
        <v>200.4</v>
      </c>
      <c r="I36" s="25">
        <f>E36*F36</f>
        <v>210</v>
      </c>
      <c r="J36" s="24" t="s">
        <v>195</v>
      </c>
      <c r="K36" s="23">
        <f t="shared" si="9"/>
        <v>9.60000000000002</v>
      </c>
      <c r="L36" s="96">
        <f>-D36*2</f>
        <v>-133.6</v>
      </c>
      <c r="M36" s="25"/>
      <c r="N36" s="25">
        <f t="shared" si="4"/>
        <v>-14687.747490566</v>
      </c>
      <c r="O36" s="74" t="s">
        <v>196</v>
      </c>
    </row>
    <row r="37" s="64" customFormat="1" customHeight="1" spans="1:30">
      <c r="A37" s="21"/>
      <c r="B37" s="21"/>
      <c r="C37" s="22" t="s">
        <v>197</v>
      </c>
      <c r="D37" s="25">
        <f>H37/F37</f>
        <v>44.96</v>
      </c>
      <c r="E37" s="25">
        <v>46</v>
      </c>
      <c r="F37" s="24">
        <v>10</v>
      </c>
      <c r="G37" s="21" t="s">
        <v>76</v>
      </c>
      <c r="H37" s="25">
        <v>449.6</v>
      </c>
      <c r="I37" s="25">
        <f>E37*F37</f>
        <v>460</v>
      </c>
      <c r="J37" s="24"/>
      <c r="K37" s="23">
        <f t="shared" si="9"/>
        <v>10.4</v>
      </c>
      <c r="L37" s="25">
        <f t="shared" si="10"/>
        <v>-449.6</v>
      </c>
      <c r="M37" s="25"/>
      <c r="N37" s="25">
        <f t="shared" si="4"/>
        <v>-15137.347490566</v>
      </c>
      <c r="O37" s="74"/>
    </row>
    <row r="38" s="29" customFormat="1" customHeight="1" spans="1:30">
      <c r="A38" s="21"/>
      <c r="B38" s="21"/>
      <c r="C38" s="22" t="s">
        <v>198</v>
      </c>
      <c r="D38" s="25">
        <f>H38/F38/10</f>
        <v>7.2</v>
      </c>
      <c r="E38" s="25">
        <v>8.3</v>
      </c>
      <c r="F38" s="21">
        <v>10</v>
      </c>
      <c r="G38" s="21" t="s">
        <v>19</v>
      </c>
      <c r="H38" s="25">
        <v>720</v>
      </c>
      <c r="I38" s="25">
        <f>E38*10*F38</f>
        <v>830</v>
      </c>
      <c r="J38" s="24" t="s">
        <v>199</v>
      </c>
      <c r="K38" s="23">
        <f t="shared" si="9"/>
        <v>110</v>
      </c>
      <c r="L38" s="25">
        <f t="shared" si="10"/>
        <v>-720</v>
      </c>
      <c r="M38" s="25"/>
      <c r="N38" s="25">
        <f t="shared" si="4"/>
        <v>-15857.347490566</v>
      </c>
      <c r="O38" s="74"/>
      <c r="R38" s="75"/>
      <c r="S38" s="76"/>
      <c r="T38" s="35"/>
      <c r="U38" s="36"/>
      <c r="W38" s="37"/>
      <c r="X38" s="37"/>
      <c r="Y38" s="36"/>
      <c r="Z38" s="77"/>
      <c r="AA38" s="37"/>
      <c r="AB38" s="37"/>
      <c r="AC38" s="37"/>
      <c r="AD38" s="78"/>
    </row>
    <row r="39" s="29" customFormat="1" customHeight="1" spans="1:30">
      <c r="A39" s="21"/>
      <c r="B39" s="21"/>
      <c r="C39" s="22" t="s">
        <v>200</v>
      </c>
      <c r="D39" s="31">
        <f t="shared" ref="D39:D42" si="11">H39/40</f>
        <v>1.75</v>
      </c>
      <c r="E39" s="21">
        <v>2</v>
      </c>
      <c r="F39" s="24">
        <v>1</v>
      </c>
      <c r="G39" s="21" t="s">
        <v>19</v>
      </c>
      <c r="H39" s="25">
        <v>70</v>
      </c>
      <c r="I39" s="25">
        <f>E39*40</f>
        <v>80</v>
      </c>
      <c r="J39" s="24" t="s">
        <v>201</v>
      </c>
      <c r="K39" s="23">
        <f t="shared" si="9"/>
        <v>10</v>
      </c>
      <c r="L39" s="25">
        <f t="shared" si="10"/>
        <v>-70</v>
      </c>
      <c r="M39" s="25"/>
      <c r="N39" s="25">
        <f t="shared" si="4"/>
        <v>-15927.347490566</v>
      </c>
      <c r="O39" s="74"/>
    </row>
    <row r="40" s="29" customFormat="1" customHeight="1" spans="1:30">
      <c r="A40" s="21"/>
      <c r="B40" s="21"/>
      <c r="C40" s="22" t="s">
        <v>202</v>
      </c>
      <c r="D40" s="31">
        <f t="shared" si="11"/>
        <v>1.75</v>
      </c>
      <c r="E40" s="21">
        <v>2</v>
      </c>
      <c r="F40" s="24">
        <v>1</v>
      </c>
      <c r="G40" s="21" t="s">
        <v>19</v>
      </c>
      <c r="H40" s="25">
        <v>70</v>
      </c>
      <c r="I40" s="25">
        <f>E40*40</f>
        <v>80</v>
      </c>
      <c r="J40" s="24" t="s">
        <v>201</v>
      </c>
      <c r="K40" s="23">
        <f t="shared" si="9"/>
        <v>10</v>
      </c>
      <c r="L40" s="25">
        <f t="shared" si="10"/>
        <v>-70</v>
      </c>
      <c r="M40" s="25"/>
      <c r="N40" s="25">
        <f t="shared" si="4"/>
        <v>-15997.347490566</v>
      </c>
      <c r="O40" s="79"/>
    </row>
    <row r="41" s="29" customFormat="1" customHeight="1" spans="1:30">
      <c r="A41" s="21"/>
      <c r="B41" s="21"/>
      <c r="C41" s="22" t="s">
        <v>203</v>
      </c>
      <c r="D41" s="31">
        <f t="shared" si="11"/>
        <v>1.75</v>
      </c>
      <c r="E41" s="21">
        <v>2</v>
      </c>
      <c r="F41" s="24">
        <v>1</v>
      </c>
      <c r="G41" s="21" t="s">
        <v>19</v>
      </c>
      <c r="H41" s="25">
        <v>70</v>
      </c>
      <c r="I41" s="25">
        <f>E41*40</f>
        <v>80</v>
      </c>
      <c r="J41" s="24" t="s">
        <v>201</v>
      </c>
      <c r="K41" s="23">
        <f t="shared" si="9"/>
        <v>10</v>
      </c>
      <c r="L41" s="25">
        <f t="shared" si="10"/>
        <v>-70</v>
      </c>
      <c r="M41" s="21"/>
      <c r="N41" s="25">
        <f t="shared" si="4"/>
        <v>-16067.347490566</v>
      </c>
      <c r="O41" s="21"/>
    </row>
    <row r="42" s="29" customFormat="1" customHeight="1" spans="1:30">
      <c r="A42" s="21"/>
      <c r="B42" s="21"/>
      <c r="C42" s="22" t="s">
        <v>204</v>
      </c>
      <c r="D42" s="31">
        <f t="shared" si="11"/>
        <v>1.75</v>
      </c>
      <c r="E42" s="21">
        <v>2</v>
      </c>
      <c r="F42" s="24">
        <v>1</v>
      </c>
      <c r="G42" s="21" t="s">
        <v>19</v>
      </c>
      <c r="H42" s="25">
        <v>70</v>
      </c>
      <c r="I42" s="25">
        <f>E42*40</f>
        <v>80</v>
      </c>
      <c r="J42" s="24" t="s">
        <v>201</v>
      </c>
      <c r="K42" s="23">
        <f t="shared" si="9"/>
        <v>10</v>
      </c>
      <c r="L42" s="25">
        <f t="shared" si="10"/>
        <v>-70</v>
      </c>
      <c r="M42" s="25"/>
      <c r="N42" s="25">
        <f t="shared" si="4"/>
        <v>-16137.347490566</v>
      </c>
      <c r="O42" s="74"/>
    </row>
    <row r="43" s="29" customFormat="1" customHeight="1" spans="1:30">
      <c r="A43" s="97"/>
      <c r="B43" s="21"/>
      <c r="C43" s="22"/>
      <c r="D43" s="25"/>
      <c r="E43" s="25"/>
      <c r="F43" s="98" t="s">
        <v>70</v>
      </c>
      <c r="G43" s="21"/>
      <c r="H43" s="25">
        <f>SUM(H3:H42)</f>
        <v>7318.25</v>
      </c>
      <c r="I43" s="96">
        <f>SUM(I3:I42)</f>
        <v>9349.7</v>
      </c>
      <c r="J43" s="24"/>
      <c r="K43" s="23"/>
      <c r="L43" s="25"/>
      <c r="M43" s="25"/>
      <c r="N43" s="25"/>
      <c r="O43" s="74"/>
    </row>
    <row r="44" s="29" customFormat="1" customHeight="1" spans="1:30">
      <c r="A44" s="21"/>
      <c r="B44" s="43"/>
      <c r="C44" s="40"/>
      <c r="D44" s="99"/>
      <c r="E44" s="43"/>
      <c r="F44" s="42"/>
      <c r="G44" s="43"/>
      <c r="H44" s="44"/>
      <c r="I44" s="44"/>
      <c r="J44" s="42" t="s">
        <v>71</v>
      </c>
      <c r="K44" s="41">
        <f>SUM(K3:K42)</f>
        <v>2031.45</v>
      </c>
      <c r="L44" s="23"/>
      <c r="M44" s="25"/>
      <c r="N44" s="25"/>
      <c r="O44" s="74"/>
    </row>
    <row r="45" s="29" customFormat="1" customHeight="1" spans="1:30">
      <c r="A45" s="21"/>
      <c r="B45" s="21"/>
      <c r="C45" s="22"/>
      <c r="D45" s="31"/>
      <c r="E45" s="21"/>
      <c r="F45" s="24"/>
      <c r="G45" s="21"/>
      <c r="H45" s="25"/>
      <c r="I45" s="25"/>
      <c r="J45" s="24" t="s">
        <v>72</v>
      </c>
      <c r="K45" s="100">
        <f>K44/2</f>
        <v>1015.725</v>
      </c>
      <c r="L45" s="25">
        <f>-K45</f>
        <v>-1015.725</v>
      </c>
      <c r="M45" s="25"/>
      <c r="N45" s="87">
        <f>N42+L45</f>
        <v>-17153.072490566</v>
      </c>
      <c r="O45" s="80" t="s">
        <v>73</v>
      </c>
    </row>
    <row r="46" s="64" customFormat="1" customHeight="1" spans="1:30">
      <c r="A46" s="21"/>
      <c r="B46" s="21"/>
      <c r="C46" s="22"/>
      <c r="D46" s="31"/>
      <c r="E46" s="21"/>
      <c r="F46" s="24"/>
      <c r="G46" s="21"/>
      <c r="H46" s="25"/>
      <c r="I46" s="25"/>
      <c r="J46" s="24"/>
      <c r="K46" s="23"/>
      <c r="L46" s="25"/>
      <c r="M46" s="25"/>
      <c r="N46" s="25"/>
      <c r="O46" s="74"/>
    </row>
    <row r="47" s="64" customFormat="1" customHeight="1" spans="1:30">
      <c r="A47" s="21"/>
      <c r="B47" s="21"/>
      <c r="C47" s="22"/>
      <c r="D47" s="31"/>
      <c r="E47" s="21"/>
      <c r="F47" s="24"/>
      <c r="G47" s="21"/>
      <c r="H47" s="25"/>
      <c r="I47" s="25"/>
      <c r="J47" s="24"/>
      <c r="K47" s="23"/>
      <c r="L47" s="25"/>
      <c r="M47" s="25"/>
      <c r="N47" s="25"/>
      <c r="O47" s="74"/>
    </row>
    <row r="48" s="64" customFormat="1" customHeight="1" spans="1:30">
      <c r="A48" s="21"/>
      <c r="B48" s="21"/>
      <c r="C48" s="22"/>
      <c r="D48" s="31"/>
      <c r="E48" s="21"/>
      <c r="F48" s="24"/>
      <c r="G48" s="21"/>
      <c r="H48" s="25"/>
      <c r="I48" s="25"/>
      <c r="J48" s="24"/>
      <c r="K48" s="23"/>
      <c r="L48" s="25"/>
      <c r="M48" s="25"/>
      <c r="N48" s="25"/>
      <c r="O48" s="74"/>
    </row>
    <row r="49" s="64" customFormat="1" customHeight="1" spans="1:15">
      <c r="A49" s="21"/>
      <c r="B49" s="21"/>
      <c r="C49" s="22"/>
      <c r="D49" s="31"/>
      <c r="E49" s="21"/>
      <c r="F49" s="24"/>
      <c r="G49" s="21"/>
      <c r="H49" s="25"/>
      <c r="I49" s="25"/>
      <c r="J49" s="24"/>
      <c r="K49" s="23"/>
      <c r="L49" s="25"/>
      <c r="M49" s="25"/>
      <c r="N49" s="25"/>
      <c r="O49" s="74"/>
    </row>
    <row r="50" s="64" customFormat="1" customHeight="1" spans="1:15">
      <c r="A50" s="21"/>
      <c r="B50" s="21"/>
      <c r="C50" s="22"/>
      <c r="D50" s="31"/>
      <c r="E50" s="21"/>
      <c r="F50" s="24"/>
      <c r="G50" s="21"/>
      <c r="H50" s="25"/>
      <c r="I50" s="25"/>
      <c r="J50" s="24"/>
      <c r="K50" s="23"/>
      <c r="L50" s="25"/>
      <c r="M50" s="25"/>
      <c r="N50" s="25"/>
      <c r="O50" s="74"/>
    </row>
    <row r="51" s="64" customFormat="1" customHeight="1" spans="1:15">
      <c r="A51" s="21"/>
      <c r="B51" s="21"/>
      <c r="C51" s="22"/>
      <c r="D51" s="31"/>
      <c r="E51" s="21"/>
      <c r="F51" s="24"/>
      <c r="G51" s="21"/>
      <c r="H51" s="25"/>
      <c r="I51" s="25"/>
      <c r="J51" s="24"/>
      <c r="K51" s="23"/>
      <c r="L51" s="25"/>
      <c r="M51" s="25"/>
      <c r="N51" s="25"/>
      <c r="O51" s="74"/>
    </row>
  </sheetData>
  <autoFilter xmlns:etc="http://www.wps.cn/officeDocument/2017/etCustomData" ref="B2:C51" etc:filterBottomFollowUsedRange="0">
    <extLst/>
  </autoFilter>
  <mergeCells count="1">
    <mergeCell ref="A1:J1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81"/>
  <sheetViews>
    <sheetView workbookViewId="0">
      <pane xSplit="2" ySplit="2" topLeftCell="C31" activePane="bottomRight" state="frozen"/>
      <selection/>
      <selection pane="topRight"/>
      <selection pane="bottomLeft"/>
      <selection pane="bottomRight" activeCell="M37" sqref="M37"/>
    </sheetView>
  </sheetViews>
  <sheetFormatPr defaultColWidth="9.06666666666667" defaultRowHeight="54" customHeight="1"/>
  <cols>
    <col min="1" max="1" width="11.875" style="3" customWidth="1"/>
    <col min="2" max="2" width="34.5" style="4" customWidth="1"/>
    <col min="3" max="3" width="11.875" style="5" customWidth="1"/>
    <col min="4" max="4" width="10.5" style="3" customWidth="1"/>
    <col min="5" max="5" width="6.375" style="6" customWidth="1"/>
    <col min="6" max="6" width="6.375" style="3" customWidth="1"/>
    <col min="7" max="7" width="12.1333333333333" style="7" customWidth="1"/>
    <col min="8" max="8" width="10.5" style="7" customWidth="1"/>
    <col min="9" max="9" width="20.5" style="6" customWidth="1"/>
    <col min="10" max="10" width="10.375" style="7" customWidth="1"/>
    <col min="11" max="11" width="9.875" style="7" customWidth="1"/>
    <col min="12" max="12" width="10.375" style="8" customWidth="1"/>
    <col min="13" max="13" width="11.9333333333333" style="7" customWidth="1"/>
    <col min="14" max="14" width="22.5" style="9" customWidth="1"/>
    <col min="15" max="20" width="9.06666666666667" style="3" customWidth="1"/>
    <col min="21" max="16384" width="9.06666666666667" style="3"/>
  </cols>
  <sheetData>
    <row r="1" customHeight="1" spans="1:16">
      <c r="A1" s="10" t="s">
        <v>205</v>
      </c>
      <c r="B1" s="11"/>
      <c r="C1" s="12"/>
      <c r="D1" s="10"/>
      <c r="E1" s="10"/>
      <c r="F1" s="10"/>
      <c r="G1" s="13"/>
      <c r="H1" s="13"/>
      <c r="I1" s="10"/>
    </row>
    <row r="2" s="1" customFormat="1" ht="35.65" customHeight="1" spans="1:16">
      <c r="A2" s="14" t="s">
        <v>2</v>
      </c>
      <c r="B2" s="15" t="s">
        <v>3</v>
      </c>
      <c r="C2" s="16" t="s">
        <v>4</v>
      </c>
      <c r="D2" s="17" t="s">
        <v>5</v>
      </c>
      <c r="E2" s="17" t="s">
        <v>6</v>
      </c>
      <c r="F2" s="14" t="s">
        <v>7</v>
      </c>
      <c r="G2" s="18" t="s">
        <v>8</v>
      </c>
      <c r="H2" s="18" t="s">
        <v>9</v>
      </c>
      <c r="I2" s="17" t="s">
        <v>10</v>
      </c>
      <c r="J2" s="18" t="s">
        <v>11</v>
      </c>
      <c r="K2" s="18" t="s">
        <v>12</v>
      </c>
      <c r="L2" s="19" t="s">
        <v>13</v>
      </c>
      <c r="M2" s="18" t="s">
        <v>14</v>
      </c>
      <c r="N2" s="20" t="s">
        <v>15</v>
      </c>
    </row>
    <row r="3" s="3" customFormat="1" customHeight="1" spans="1:16">
      <c r="A3" s="81"/>
      <c r="B3" s="22" t="s">
        <v>206</v>
      </c>
      <c r="C3" s="86">
        <f>G3/E3/100</f>
        <v>1.2</v>
      </c>
      <c r="D3" s="86">
        <v>2.5</v>
      </c>
      <c r="E3" s="83">
        <v>3</v>
      </c>
      <c r="F3" s="81" t="s">
        <v>19</v>
      </c>
      <c r="G3" s="25">
        <v>360</v>
      </c>
      <c r="H3" s="27">
        <f>D3*3*100</f>
        <v>750</v>
      </c>
      <c r="I3" s="83" t="s">
        <v>207</v>
      </c>
      <c r="J3" s="25">
        <f>H3-G3</f>
        <v>390</v>
      </c>
      <c r="K3" s="25">
        <f>-G3</f>
        <v>-360</v>
      </c>
      <c r="L3" s="87">
        <v>-17153.072490566</v>
      </c>
      <c r="M3" s="27">
        <f>L3+K3</f>
        <v>-17513.072490566</v>
      </c>
      <c r="N3" s="88" t="s">
        <v>208</v>
      </c>
    </row>
    <row r="4" s="2" customFormat="1" customHeight="1" spans="1:16">
      <c r="A4" s="81"/>
      <c r="B4" s="22" t="s">
        <v>209</v>
      </c>
      <c r="C4" s="23">
        <f>G4/E4</f>
        <v>14.2271428571429</v>
      </c>
      <c r="D4" s="23">
        <v>25.5</v>
      </c>
      <c r="E4" s="24">
        <v>56</v>
      </c>
      <c r="F4" s="21" t="s">
        <v>85</v>
      </c>
      <c r="G4" s="25">
        <f>700+96.72</f>
        <v>796.72</v>
      </c>
      <c r="H4" s="25">
        <f>D4*E4</f>
        <v>1428</v>
      </c>
      <c r="I4" s="24" t="s">
        <v>210</v>
      </c>
      <c r="J4" s="25">
        <f>H4-G4</f>
        <v>631.28</v>
      </c>
      <c r="K4" s="25">
        <f>-G4</f>
        <v>-796.72</v>
      </c>
      <c r="L4" s="26"/>
      <c r="M4" s="27">
        <f>M3+K4+L4</f>
        <v>-18309.792490566</v>
      </c>
      <c r="N4" s="88" t="s">
        <v>208</v>
      </c>
      <c r="O4" s="89"/>
    </row>
    <row r="5" customHeight="1" spans="1:16">
      <c r="A5" s="81"/>
      <c r="B5" s="22" t="s">
        <v>211</v>
      </c>
      <c r="C5" s="23">
        <f>G5/25</f>
        <v>10.8</v>
      </c>
      <c r="D5" s="81">
        <v>11.5</v>
      </c>
      <c r="E5" s="24">
        <v>1</v>
      </c>
      <c r="F5" s="21" t="s">
        <v>19</v>
      </c>
      <c r="G5" s="82">
        <f t="shared" ref="G5:G7" si="0">810/3</f>
        <v>270</v>
      </c>
      <c r="H5" s="23">
        <f>D5*E5*25</f>
        <v>287.5</v>
      </c>
      <c r="I5" s="24" t="s">
        <v>212</v>
      </c>
      <c r="J5" s="25">
        <f t="shared" ref="J5:J34" si="1">H5-G5</f>
        <v>17.5</v>
      </c>
      <c r="K5" s="25">
        <f t="shared" ref="K5:K34" si="2">-G5</f>
        <v>-270</v>
      </c>
      <c r="L5" s="90"/>
      <c r="M5" s="27">
        <f>M4+K5+L5</f>
        <v>-18579.792490566</v>
      </c>
      <c r="N5" s="88"/>
    </row>
    <row r="6" customHeight="1" spans="1:16">
      <c r="A6" s="81"/>
      <c r="B6" s="22" t="s">
        <v>213</v>
      </c>
      <c r="C6" s="86">
        <f>G6/25</f>
        <v>10.8</v>
      </c>
      <c r="D6" s="81">
        <v>11.5</v>
      </c>
      <c r="E6" s="24">
        <v>1</v>
      </c>
      <c r="F6" s="21" t="s">
        <v>19</v>
      </c>
      <c r="G6" s="82">
        <f t="shared" si="0"/>
        <v>270</v>
      </c>
      <c r="H6" s="25">
        <f>D6*1*25</f>
        <v>287.5</v>
      </c>
      <c r="I6" s="24" t="s">
        <v>212</v>
      </c>
      <c r="J6" s="25">
        <f t="shared" si="1"/>
        <v>17.5</v>
      </c>
      <c r="K6" s="25">
        <f t="shared" si="2"/>
        <v>-270</v>
      </c>
      <c r="L6" s="26"/>
      <c r="M6" s="27">
        <f t="shared" ref="M6:M31" si="3">M5+K6+L6</f>
        <v>-18849.792490566</v>
      </c>
      <c r="N6" s="88"/>
    </row>
    <row r="7" s="2" customFormat="1" customHeight="1" spans="1:16">
      <c r="A7" s="81"/>
      <c r="B7" s="22" t="s">
        <v>214</v>
      </c>
      <c r="C7" s="23">
        <f>G7/25</f>
        <v>10.8</v>
      </c>
      <c r="D7" s="81">
        <v>11.5</v>
      </c>
      <c r="E7" s="24">
        <v>1</v>
      </c>
      <c r="F7" s="21" t="s">
        <v>19</v>
      </c>
      <c r="G7" s="82">
        <f t="shared" si="0"/>
        <v>270</v>
      </c>
      <c r="H7" s="23">
        <f>D7*E7*25</f>
        <v>287.5</v>
      </c>
      <c r="I7" s="24" t="s">
        <v>212</v>
      </c>
      <c r="J7" s="25">
        <f t="shared" si="1"/>
        <v>17.5</v>
      </c>
      <c r="K7" s="25">
        <f t="shared" si="2"/>
        <v>-270</v>
      </c>
      <c r="L7" s="26"/>
      <c r="M7" s="27">
        <f t="shared" si="3"/>
        <v>-19119.792490566</v>
      </c>
      <c r="N7" s="28"/>
      <c r="O7" s="29"/>
    </row>
    <row r="8" s="2" customFormat="1" customHeight="1" spans="1:16">
      <c r="A8" s="81"/>
      <c r="B8" s="22" t="s">
        <v>215</v>
      </c>
      <c r="C8" s="23">
        <v>13.75</v>
      </c>
      <c r="D8" s="23">
        <v>14.5</v>
      </c>
      <c r="E8" s="24">
        <v>2</v>
      </c>
      <c r="F8" s="21" t="s">
        <v>19</v>
      </c>
      <c r="G8" s="25">
        <f>C8*E8*20</f>
        <v>550</v>
      </c>
      <c r="H8" s="25">
        <f>D8*E8*20</f>
        <v>580</v>
      </c>
      <c r="I8" s="24" t="s">
        <v>216</v>
      </c>
      <c r="J8" s="25">
        <f t="shared" si="1"/>
        <v>30</v>
      </c>
      <c r="K8" s="25">
        <f t="shared" si="2"/>
        <v>-550</v>
      </c>
      <c r="L8" s="26"/>
      <c r="M8" s="27">
        <f t="shared" si="3"/>
        <v>-19669.792490566</v>
      </c>
      <c r="N8" s="88" t="s">
        <v>208</v>
      </c>
      <c r="O8" s="29"/>
    </row>
    <row r="9" s="2" customFormat="1" customHeight="1" spans="1:16">
      <c r="A9" s="30"/>
      <c r="B9" s="22" t="s">
        <v>217</v>
      </c>
      <c r="C9" s="23">
        <f>G9/E9/40</f>
        <v>7.75</v>
      </c>
      <c r="D9" s="81">
        <v>13.8</v>
      </c>
      <c r="E9" s="24">
        <v>1</v>
      </c>
      <c r="F9" s="21" t="s">
        <v>19</v>
      </c>
      <c r="G9" s="82">
        <v>310</v>
      </c>
      <c r="H9" s="23">
        <f>D9*E9*40</f>
        <v>552</v>
      </c>
      <c r="I9" s="24" t="s">
        <v>218</v>
      </c>
      <c r="J9" s="25">
        <f t="shared" si="1"/>
        <v>242</v>
      </c>
      <c r="K9" s="25">
        <f t="shared" si="2"/>
        <v>-310</v>
      </c>
      <c r="L9" s="26"/>
      <c r="M9" s="27">
        <f t="shared" si="3"/>
        <v>-19979.792490566</v>
      </c>
      <c r="N9" s="28"/>
      <c r="O9" s="29"/>
    </row>
    <row r="10" s="2" customFormat="1" customHeight="1" spans="1:16">
      <c r="A10" s="30"/>
      <c r="B10" s="22" t="s">
        <v>219</v>
      </c>
      <c r="C10" s="23">
        <f>G10/1/50</f>
        <v>5.2</v>
      </c>
      <c r="D10" s="23">
        <v>8.3</v>
      </c>
      <c r="E10" s="24">
        <v>1</v>
      </c>
      <c r="F10" s="21" t="s">
        <v>19</v>
      </c>
      <c r="G10" s="25">
        <v>260</v>
      </c>
      <c r="H10" s="25">
        <f>D10*E10*50</f>
        <v>415</v>
      </c>
      <c r="I10" s="24" t="s">
        <v>220</v>
      </c>
      <c r="J10" s="25">
        <f t="shared" si="1"/>
        <v>155</v>
      </c>
      <c r="K10" s="25">
        <f t="shared" si="2"/>
        <v>-260</v>
      </c>
      <c r="L10" s="26"/>
      <c r="M10" s="27">
        <f t="shared" si="3"/>
        <v>-20239.792490566</v>
      </c>
      <c r="N10" s="28"/>
      <c r="O10" s="29"/>
    </row>
    <row r="11" s="2" customFormat="1" customHeight="1" spans="1:16">
      <c r="A11" s="30"/>
      <c r="B11" s="22" t="s">
        <v>221</v>
      </c>
      <c r="C11" s="23">
        <f>G11/1/30</f>
        <v>6.33333333333333</v>
      </c>
      <c r="D11" s="23">
        <v>11.2</v>
      </c>
      <c r="E11" s="24">
        <v>1</v>
      </c>
      <c r="F11" s="21" t="s">
        <v>19</v>
      </c>
      <c r="G11" s="25">
        <v>190</v>
      </c>
      <c r="H11" s="25">
        <f>D11*E11*30</f>
        <v>336</v>
      </c>
      <c r="I11" s="24" t="s">
        <v>222</v>
      </c>
      <c r="J11" s="25">
        <f t="shared" si="1"/>
        <v>146</v>
      </c>
      <c r="K11" s="25">
        <f t="shared" si="2"/>
        <v>-190</v>
      </c>
      <c r="L11" s="26"/>
      <c r="M11" s="27">
        <f t="shared" si="3"/>
        <v>-20429.792490566</v>
      </c>
      <c r="N11" s="28"/>
      <c r="O11" s="29"/>
    </row>
    <row r="12" s="2" customFormat="1" customHeight="1" spans="1:16">
      <c r="A12" s="30"/>
      <c r="B12" s="22" t="s">
        <v>223</v>
      </c>
      <c r="C12" s="23">
        <f>G12/E12/30</f>
        <v>6.33333333333333</v>
      </c>
      <c r="D12" s="23">
        <v>11.3</v>
      </c>
      <c r="E12" s="24">
        <v>1</v>
      </c>
      <c r="F12" s="21" t="s">
        <v>19</v>
      </c>
      <c r="G12" s="25">
        <v>190</v>
      </c>
      <c r="H12" s="25">
        <f>D12*1*30</f>
        <v>339</v>
      </c>
      <c r="I12" s="24" t="s">
        <v>222</v>
      </c>
      <c r="J12" s="25">
        <f t="shared" si="1"/>
        <v>149</v>
      </c>
      <c r="K12" s="25">
        <f t="shared" si="2"/>
        <v>-190</v>
      </c>
      <c r="L12" s="26"/>
      <c r="M12" s="27">
        <f t="shared" si="3"/>
        <v>-20619.792490566</v>
      </c>
      <c r="N12" s="28"/>
      <c r="O12" s="29"/>
      <c r="P12" s="29"/>
    </row>
    <row r="13" s="2" customFormat="1" customHeight="1" spans="1:16">
      <c r="A13" s="30"/>
      <c r="B13" s="22" t="s">
        <v>224</v>
      </c>
      <c r="C13" s="23">
        <f>G13/E13/40</f>
        <v>5.25</v>
      </c>
      <c r="D13" s="23">
        <v>6</v>
      </c>
      <c r="E13" s="24">
        <v>1</v>
      </c>
      <c r="F13" s="21" t="s">
        <v>19</v>
      </c>
      <c r="G13" s="25">
        <v>210</v>
      </c>
      <c r="H13" s="25">
        <f>D13*1*40</f>
        <v>240</v>
      </c>
      <c r="I13" s="24" t="s">
        <v>225</v>
      </c>
      <c r="J13" s="25">
        <f t="shared" si="1"/>
        <v>30</v>
      </c>
      <c r="K13" s="25">
        <f t="shared" si="2"/>
        <v>-210</v>
      </c>
      <c r="L13" s="26"/>
      <c r="M13" s="27">
        <f t="shared" si="3"/>
        <v>-20829.792490566</v>
      </c>
      <c r="N13" s="28"/>
      <c r="O13" s="29"/>
      <c r="P13" s="29"/>
    </row>
    <row r="14" s="2" customFormat="1" customHeight="1" spans="1:16">
      <c r="A14" s="30"/>
      <c r="B14" s="22" t="s">
        <v>226</v>
      </c>
      <c r="C14" s="23">
        <f>G14/E14/40</f>
        <v>5.25</v>
      </c>
      <c r="D14" s="23">
        <v>6</v>
      </c>
      <c r="E14" s="24">
        <v>1</v>
      </c>
      <c r="F14" s="21" t="s">
        <v>19</v>
      </c>
      <c r="G14" s="25">
        <v>210</v>
      </c>
      <c r="H14" s="25">
        <f>D14*E14*40</f>
        <v>240</v>
      </c>
      <c r="I14" s="24" t="s">
        <v>225</v>
      </c>
      <c r="J14" s="25">
        <f t="shared" si="1"/>
        <v>30</v>
      </c>
      <c r="K14" s="25">
        <f t="shared" si="2"/>
        <v>-210</v>
      </c>
      <c r="L14" s="26"/>
      <c r="M14" s="27">
        <f t="shared" si="3"/>
        <v>-21039.792490566</v>
      </c>
      <c r="N14" s="28"/>
      <c r="O14" s="29"/>
      <c r="P14" s="29"/>
    </row>
    <row r="15" s="2" customFormat="1" customHeight="1" spans="1:16">
      <c r="A15" s="30"/>
      <c r="B15" s="22" t="s">
        <v>227</v>
      </c>
      <c r="C15" s="23">
        <f>G15/E15/48</f>
        <v>8.73333333333333</v>
      </c>
      <c r="D15" s="23">
        <v>12</v>
      </c>
      <c r="E15" s="24">
        <v>1</v>
      </c>
      <c r="F15" s="21" t="s">
        <v>19</v>
      </c>
      <c r="G15" s="25">
        <v>419.2</v>
      </c>
      <c r="H15" s="25">
        <f>D15*E15*48</f>
        <v>576</v>
      </c>
      <c r="I15" s="24" t="s">
        <v>228</v>
      </c>
      <c r="J15" s="25">
        <f t="shared" si="1"/>
        <v>156.8</v>
      </c>
      <c r="K15" s="25">
        <f t="shared" si="2"/>
        <v>-419.2</v>
      </c>
      <c r="L15" s="26"/>
      <c r="M15" s="27">
        <f t="shared" si="3"/>
        <v>-21458.992490566</v>
      </c>
      <c r="N15" s="28"/>
      <c r="O15" s="29"/>
      <c r="P15" s="29"/>
    </row>
    <row r="16" s="2" customFormat="1" customHeight="1" spans="1:16">
      <c r="A16" s="30"/>
      <c r="B16" s="22" t="s">
        <v>229</v>
      </c>
      <c r="C16" s="23">
        <f>G16/E16/20</f>
        <v>9</v>
      </c>
      <c r="D16" s="23">
        <v>10</v>
      </c>
      <c r="E16" s="24">
        <v>3</v>
      </c>
      <c r="F16" s="21" t="s">
        <v>19</v>
      </c>
      <c r="G16" s="25">
        <v>540</v>
      </c>
      <c r="H16" s="25">
        <f>D16*E16*20</f>
        <v>600</v>
      </c>
      <c r="I16" s="24" t="s">
        <v>230</v>
      </c>
      <c r="J16" s="25">
        <f t="shared" si="1"/>
        <v>60</v>
      </c>
      <c r="K16" s="25">
        <f t="shared" si="2"/>
        <v>-540</v>
      </c>
      <c r="L16" s="26"/>
      <c r="M16" s="27">
        <f t="shared" si="3"/>
        <v>-21998.992490566</v>
      </c>
      <c r="N16" s="28"/>
      <c r="O16" s="29"/>
      <c r="P16" s="29"/>
    </row>
    <row r="17" s="2" customFormat="1" customHeight="1" spans="1:16">
      <c r="A17" s="30"/>
      <c r="B17" s="22" t="s">
        <v>200</v>
      </c>
      <c r="C17" s="23">
        <v>1.75</v>
      </c>
      <c r="D17" s="21">
        <v>2</v>
      </c>
      <c r="E17" s="24">
        <v>1</v>
      </c>
      <c r="F17" s="21" t="s">
        <v>19</v>
      </c>
      <c r="G17" s="23">
        <v>70</v>
      </c>
      <c r="H17" s="21">
        <v>80</v>
      </c>
      <c r="I17" s="24" t="s">
        <v>201</v>
      </c>
      <c r="J17" s="25">
        <f t="shared" si="1"/>
        <v>10</v>
      </c>
      <c r="K17" s="25">
        <f t="shared" si="2"/>
        <v>-70</v>
      </c>
      <c r="L17" s="26"/>
      <c r="M17" s="27">
        <f t="shared" si="3"/>
        <v>-22068.992490566</v>
      </c>
      <c r="N17" s="28" t="s">
        <v>208</v>
      </c>
      <c r="O17" s="29"/>
      <c r="P17" s="29"/>
    </row>
    <row r="18" s="2" customFormat="1" customHeight="1" spans="1:16">
      <c r="A18" s="30"/>
      <c r="B18" s="22" t="s">
        <v>202</v>
      </c>
      <c r="C18" s="23">
        <v>1.75</v>
      </c>
      <c r="D18" s="21">
        <v>2</v>
      </c>
      <c r="E18" s="24">
        <v>1</v>
      </c>
      <c r="F18" s="21" t="s">
        <v>19</v>
      </c>
      <c r="G18" s="25">
        <v>70</v>
      </c>
      <c r="H18" s="25">
        <v>80</v>
      </c>
      <c r="I18" s="24" t="s">
        <v>201</v>
      </c>
      <c r="J18" s="25">
        <f t="shared" si="1"/>
        <v>10</v>
      </c>
      <c r="K18" s="25">
        <f t="shared" si="2"/>
        <v>-70</v>
      </c>
      <c r="L18" s="26"/>
      <c r="M18" s="27">
        <f t="shared" si="3"/>
        <v>-22138.992490566</v>
      </c>
      <c r="N18" s="28" t="s">
        <v>208</v>
      </c>
      <c r="O18" s="29"/>
      <c r="P18" s="29"/>
    </row>
    <row r="19" s="2" customFormat="1" customHeight="1" spans="1:16">
      <c r="A19" s="21"/>
      <c r="B19" s="22" t="s">
        <v>203</v>
      </c>
      <c r="C19" s="23">
        <v>1.75</v>
      </c>
      <c r="D19" s="21">
        <v>2</v>
      </c>
      <c r="E19" s="24">
        <v>1</v>
      </c>
      <c r="F19" s="21" t="s">
        <v>19</v>
      </c>
      <c r="G19" s="25">
        <v>70</v>
      </c>
      <c r="H19" s="25">
        <v>80</v>
      </c>
      <c r="I19" s="24" t="s">
        <v>201</v>
      </c>
      <c r="J19" s="25">
        <f t="shared" si="1"/>
        <v>10</v>
      </c>
      <c r="K19" s="25">
        <f t="shared" si="2"/>
        <v>-70</v>
      </c>
      <c r="L19" s="26"/>
      <c r="M19" s="27">
        <f t="shared" si="3"/>
        <v>-22208.992490566</v>
      </c>
      <c r="N19" s="28" t="s">
        <v>208</v>
      </c>
      <c r="O19" s="89"/>
      <c r="P19" s="29"/>
    </row>
    <row r="20" s="2" customFormat="1" customHeight="1" spans="1:16">
      <c r="A20" s="21"/>
      <c r="B20" s="22" t="s">
        <v>204</v>
      </c>
      <c r="C20" s="23">
        <v>1.75</v>
      </c>
      <c r="D20" s="21">
        <v>2</v>
      </c>
      <c r="E20" s="24">
        <v>1</v>
      </c>
      <c r="F20" s="21" t="s">
        <v>19</v>
      </c>
      <c r="G20" s="25">
        <v>70</v>
      </c>
      <c r="H20" s="25">
        <v>80</v>
      </c>
      <c r="I20" s="24" t="s">
        <v>201</v>
      </c>
      <c r="J20" s="25">
        <f t="shared" si="1"/>
        <v>10</v>
      </c>
      <c r="K20" s="25">
        <f t="shared" si="2"/>
        <v>-70</v>
      </c>
      <c r="L20" s="26"/>
      <c r="M20" s="27">
        <f t="shared" si="3"/>
        <v>-22278.992490566</v>
      </c>
      <c r="N20" s="28" t="s">
        <v>208</v>
      </c>
      <c r="O20" s="89"/>
      <c r="P20" s="29"/>
    </row>
    <row r="21" s="2" customFormat="1" customHeight="1" spans="1:16">
      <c r="A21" s="21"/>
      <c r="B21" s="22" t="s">
        <v>231</v>
      </c>
      <c r="C21" s="23">
        <f>G21/E21/36</f>
        <v>6.2812037037037</v>
      </c>
      <c r="D21" s="23">
        <v>7.5</v>
      </c>
      <c r="E21" s="24">
        <v>6</v>
      </c>
      <c r="F21" s="21" t="s">
        <v>19</v>
      </c>
      <c r="G21" s="25">
        <f>1285.57+71.17</f>
        <v>1356.74</v>
      </c>
      <c r="H21" s="25">
        <f>D21*6*36</f>
        <v>1620</v>
      </c>
      <c r="I21" s="24" t="s">
        <v>232</v>
      </c>
      <c r="J21" s="25">
        <f t="shared" si="1"/>
        <v>263.26</v>
      </c>
      <c r="K21" s="25">
        <f t="shared" si="2"/>
        <v>-1356.74</v>
      </c>
      <c r="L21" s="26"/>
      <c r="M21" s="27">
        <f t="shared" si="3"/>
        <v>-23635.732490566</v>
      </c>
      <c r="N21" s="28" t="s">
        <v>208</v>
      </c>
      <c r="O21" s="89"/>
      <c r="P21" s="29"/>
    </row>
    <row r="22" s="2" customFormat="1" customHeight="1" spans="1:16">
      <c r="A22" s="21"/>
      <c r="B22" s="22" t="s">
        <v>233</v>
      </c>
      <c r="C22" s="23">
        <f>G22/E22/36</f>
        <v>5.93023148148148</v>
      </c>
      <c r="D22" s="23">
        <v>7.5</v>
      </c>
      <c r="E22" s="24">
        <v>6</v>
      </c>
      <c r="F22" s="21" t="s">
        <v>19</v>
      </c>
      <c r="G22" s="25">
        <v>1280.93</v>
      </c>
      <c r="H22" s="25">
        <f>D22*6*36</f>
        <v>1620</v>
      </c>
      <c r="I22" s="24" t="s">
        <v>232</v>
      </c>
      <c r="J22" s="25">
        <f t="shared" si="1"/>
        <v>339.07</v>
      </c>
      <c r="K22" s="25">
        <f t="shared" si="2"/>
        <v>-1280.93</v>
      </c>
      <c r="L22" s="26"/>
      <c r="M22" s="27">
        <f t="shared" ref="M22:M35" si="4">M21+K22+L22</f>
        <v>-24916.662490566</v>
      </c>
      <c r="N22" s="28" t="s">
        <v>208</v>
      </c>
      <c r="O22" s="89"/>
      <c r="P22" s="29"/>
    </row>
    <row r="23" s="2" customFormat="1" customHeight="1" spans="1:16">
      <c r="A23" s="30"/>
      <c r="B23" s="22" t="s">
        <v>234</v>
      </c>
      <c r="C23" s="23">
        <f>G23/E23/6</f>
        <v>57.5694444444444</v>
      </c>
      <c r="D23" s="23">
        <v>72</v>
      </c>
      <c r="E23" s="24">
        <v>6</v>
      </c>
      <c r="F23" s="21" t="s">
        <v>19</v>
      </c>
      <c r="G23" s="25">
        <f>319.5+1190+55+238+165+105</f>
        <v>2072.5</v>
      </c>
      <c r="H23" s="25">
        <f>D23*E23*6</f>
        <v>2592</v>
      </c>
      <c r="I23" s="24" t="s">
        <v>235</v>
      </c>
      <c r="J23" s="25">
        <f t="shared" si="1"/>
        <v>519.5</v>
      </c>
      <c r="K23" s="25">
        <f t="shared" si="2"/>
        <v>-2072.5</v>
      </c>
      <c r="L23" s="26"/>
      <c r="M23" s="27">
        <f t="shared" si="4"/>
        <v>-26989.162490566</v>
      </c>
      <c r="N23" s="28" t="s">
        <v>208</v>
      </c>
      <c r="O23" s="29"/>
      <c r="P23" s="29"/>
    </row>
    <row r="24" s="2" customFormat="1" customHeight="1" spans="1:16">
      <c r="A24" s="30"/>
      <c r="B24" s="22" t="s">
        <v>236</v>
      </c>
      <c r="C24" s="23">
        <f>G24/E24/60</f>
        <v>19.4837222222222</v>
      </c>
      <c r="D24" s="91">
        <v>22.7</v>
      </c>
      <c r="E24" s="24">
        <v>3</v>
      </c>
      <c r="F24" s="21" t="s">
        <v>19</v>
      </c>
      <c r="G24" s="25">
        <f>246.27+600.04+1171.31+360.06+458.84+670.55</f>
        <v>3507.07</v>
      </c>
      <c r="H24" s="25">
        <f>D24*E24*60</f>
        <v>4086</v>
      </c>
      <c r="I24" s="24" t="s">
        <v>237</v>
      </c>
      <c r="J24" s="25">
        <f t="shared" si="1"/>
        <v>578.93</v>
      </c>
      <c r="K24" s="25">
        <f t="shared" si="2"/>
        <v>-3507.07</v>
      </c>
      <c r="L24" s="26"/>
      <c r="M24" s="27">
        <f t="shared" si="4"/>
        <v>-30496.232490566</v>
      </c>
      <c r="N24" s="28">
        <f>36*3</f>
        <v>108</v>
      </c>
      <c r="O24" s="29">
        <f>360-(N24+N25)</f>
        <v>36</v>
      </c>
      <c r="P24" s="29"/>
    </row>
    <row r="25" s="2" customFormat="1" customHeight="1" spans="1:16">
      <c r="A25" s="30"/>
      <c r="B25" s="22" t="s">
        <v>238</v>
      </c>
      <c r="C25" s="23">
        <f>G25/E25/60</f>
        <v>19.6186111111111</v>
      </c>
      <c r="D25" s="91">
        <v>22.7</v>
      </c>
      <c r="E25" s="24">
        <v>3</v>
      </c>
      <c r="F25" s="21" t="s">
        <v>19</v>
      </c>
      <c r="G25" s="25">
        <f>1320.6+1293.08+917.67</f>
        <v>3531.35</v>
      </c>
      <c r="H25" s="25">
        <f>D25*E25*60</f>
        <v>4086</v>
      </c>
      <c r="I25" s="24" t="s">
        <v>237</v>
      </c>
      <c r="J25" s="25">
        <f t="shared" si="1"/>
        <v>554.65</v>
      </c>
      <c r="K25" s="25">
        <f t="shared" si="2"/>
        <v>-3531.35</v>
      </c>
      <c r="L25" s="26"/>
      <c r="M25" s="27">
        <f t="shared" si="4"/>
        <v>-34027.582490566</v>
      </c>
      <c r="N25" s="28">
        <f>60+18+66+24+48</f>
        <v>216</v>
      </c>
      <c r="O25" s="29"/>
      <c r="P25" s="29"/>
    </row>
    <row r="26" s="2" customFormat="1" customHeight="1" spans="1:16">
      <c r="A26" s="30"/>
      <c r="B26" s="22" t="s">
        <v>239</v>
      </c>
      <c r="C26" s="23">
        <f>G26/5/12</f>
        <v>39.112</v>
      </c>
      <c r="D26" s="23">
        <v>45</v>
      </c>
      <c r="E26" s="24">
        <v>5</v>
      </c>
      <c r="F26" s="21" t="s">
        <v>19</v>
      </c>
      <c r="G26" s="25">
        <f>2001.43+345.29</f>
        <v>2346.72</v>
      </c>
      <c r="H26" s="25">
        <f>D26*E26*12</f>
        <v>2700</v>
      </c>
      <c r="I26" s="24" t="s">
        <v>240</v>
      </c>
      <c r="J26" s="25">
        <f t="shared" si="1"/>
        <v>353.28</v>
      </c>
      <c r="K26" s="25">
        <f t="shared" si="2"/>
        <v>-2346.72</v>
      </c>
      <c r="L26" s="26"/>
      <c r="M26" s="27">
        <f t="shared" si="4"/>
        <v>-36374.302490566</v>
      </c>
      <c r="N26" s="88" t="s">
        <v>208</v>
      </c>
      <c r="O26" s="29"/>
      <c r="P26" s="29"/>
    </row>
    <row r="27" s="2" customFormat="1" customHeight="1" spans="1:16">
      <c r="A27" s="30"/>
      <c r="B27" s="22" t="s">
        <v>136</v>
      </c>
      <c r="C27" s="23">
        <f>G27/E27/30</f>
        <v>7.88333333333333</v>
      </c>
      <c r="D27" s="86">
        <v>13.9</v>
      </c>
      <c r="E27" s="24">
        <v>2</v>
      </c>
      <c r="F27" s="21" t="s">
        <v>19</v>
      </c>
      <c r="G27" s="25">
        <v>473</v>
      </c>
      <c r="H27" s="25">
        <f>D27*E27*30</f>
        <v>834</v>
      </c>
      <c r="I27" s="83" t="s">
        <v>137</v>
      </c>
      <c r="J27" s="25">
        <f t="shared" si="1"/>
        <v>361</v>
      </c>
      <c r="K27" s="25">
        <f t="shared" si="2"/>
        <v>-473</v>
      </c>
      <c r="L27" s="26"/>
      <c r="M27" s="27">
        <f t="shared" si="4"/>
        <v>-36847.302490566</v>
      </c>
      <c r="N27" s="88" t="s">
        <v>208</v>
      </c>
      <c r="O27" s="29"/>
      <c r="P27" s="29"/>
    </row>
    <row r="28" s="2" customFormat="1" customHeight="1" spans="1:16">
      <c r="A28" s="30"/>
      <c r="B28" s="22" t="s">
        <v>241</v>
      </c>
      <c r="C28" s="23">
        <f>G28/E28/25</f>
        <v>10.039</v>
      </c>
      <c r="D28" s="81">
        <v>11.5</v>
      </c>
      <c r="E28" s="24">
        <v>1</v>
      </c>
      <c r="F28" s="21" t="s">
        <v>19</v>
      </c>
      <c r="G28" s="25">
        <f>501.95/2</f>
        <v>250.975</v>
      </c>
      <c r="H28" s="25">
        <f>D28*E28*25</f>
        <v>287.5</v>
      </c>
      <c r="I28" s="24" t="s">
        <v>212</v>
      </c>
      <c r="J28" s="25">
        <f t="shared" si="1"/>
        <v>36.525</v>
      </c>
      <c r="K28" s="25">
        <f t="shared" si="2"/>
        <v>-250.975</v>
      </c>
      <c r="L28" s="26"/>
      <c r="M28" s="27">
        <f t="shared" si="4"/>
        <v>-37098.277490566</v>
      </c>
      <c r="N28" s="88" t="s">
        <v>208</v>
      </c>
      <c r="O28" s="29"/>
      <c r="P28" s="29"/>
    </row>
    <row r="29" s="2" customFormat="1" customHeight="1" spans="1:16">
      <c r="A29" s="30"/>
      <c r="B29" s="22" t="s">
        <v>242</v>
      </c>
      <c r="C29" s="23">
        <f>G29/E29/25</f>
        <v>10.039</v>
      </c>
      <c r="D29" s="81">
        <v>11.5</v>
      </c>
      <c r="E29" s="24">
        <v>1</v>
      </c>
      <c r="F29" s="21" t="s">
        <v>19</v>
      </c>
      <c r="G29" s="25">
        <f>501.95/2</f>
        <v>250.975</v>
      </c>
      <c r="H29" s="25">
        <f>D29*E29*25</f>
        <v>287.5</v>
      </c>
      <c r="I29" s="24" t="s">
        <v>212</v>
      </c>
      <c r="J29" s="25">
        <f t="shared" si="1"/>
        <v>36.525</v>
      </c>
      <c r="K29" s="25">
        <f t="shared" si="2"/>
        <v>-250.975</v>
      </c>
      <c r="L29" s="26"/>
      <c r="M29" s="27">
        <f t="shared" si="4"/>
        <v>-37349.252490566</v>
      </c>
      <c r="N29" s="88" t="s">
        <v>208</v>
      </c>
      <c r="O29" s="29"/>
      <c r="P29" s="29"/>
    </row>
    <row r="30" s="2" customFormat="1" customHeight="1" spans="1:16">
      <c r="A30" s="30"/>
      <c r="B30" s="22" t="s">
        <v>243</v>
      </c>
      <c r="C30" s="23">
        <f>G30/E30/40</f>
        <v>7.314875</v>
      </c>
      <c r="D30" s="21">
        <v>9.8</v>
      </c>
      <c r="E30" s="24">
        <v>2</v>
      </c>
      <c r="F30" s="21" t="s">
        <v>19</v>
      </c>
      <c r="G30" s="25">
        <v>585.19</v>
      </c>
      <c r="H30" s="25">
        <f>D30*E30*40</f>
        <v>784</v>
      </c>
      <c r="I30" s="24" t="s">
        <v>244</v>
      </c>
      <c r="J30" s="25">
        <f t="shared" si="1"/>
        <v>198.81</v>
      </c>
      <c r="K30" s="25">
        <f t="shared" si="2"/>
        <v>-585.19</v>
      </c>
      <c r="L30" s="26"/>
      <c r="M30" s="27">
        <f t="shared" si="4"/>
        <v>-37934.442490566</v>
      </c>
      <c r="N30" s="28" t="s">
        <v>208</v>
      </c>
      <c r="O30" s="29"/>
      <c r="P30" s="29"/>
    </row>
    <row r="31" s="2" customFormat="1" customHeight="1" spans="1:16">
      <c r="A31" s="30"/>
      <c r="B31" s="22" t="s">
        <v>245</v>
      </c>
      <c r="C31" s="23">
        <f>G31/E31/60</f>
        <v>2.6955</v>
      </c>
      <c r="D31" s="21">
        <v>4.2</v>
      </c>
      <c r="E31" s="24">
        <v>2</v>
      </c>
      <c r="F31" s="21" t="s">
        <v>19</v>
      </c>
      <c r="G31" s="25">
        <v>323.46</v>
      </c>
      <c r="H31" s="25">
        <f>D31*E31*60</f>
        <v>504</v>
      </c>
      <c r="I31" s="24" t="s">
        <v>246</v>
      </c>
      <c r="J31" s="25">
        <f t="shared" si="1"/>
        <v>180.54</v>
      </c>
      <c r="K31" s="25">
        <f t="shared" si="2"/>
        <v>-323.46</v>
      </c>
      <c r="L31" s="26"/>
      <c r="M31" s="27">
        <f t="shared" si="4"/>
        <v>-38257.902490566</v>
      </c>
      <c r="N31" s="28" t="s">
        <v>208</v>
      </c>
      <c r="O31" s="29"/>
      <c r="P31" s="29"/>
    </row>
    <row r="32" s="2" customFormat="1" customHeight="1" spans="1:16">
      <c r="A32" s="21"/>
      <c r="B32" s="22" t="s">
        <v>247</v>
      </c>
      <c r="C32" s="23">
        <f>G32/E32/30</f>
        <v>8.9015</v>
      </c>
      <c r="D32" s="21">
        <v>12.5</v>
      </c>
      <c r="E32" s="24">
        <v>2</v>
      </c>
      <c r="F32" s="21" t="s">
        <v>19</v>
      </c>
      <c r="G32" s="25">
        <v>534.09</v>
      </c>
      <c r="H32" s="25">
        <f>D32*E32*30</f>
        <v>750</v>
      </c>
      <c r="I32" s="24" t="s">
        <v>248</v>
      </c>
      <c r="J32" s="25">
        <f t="shared" si="1"/>
        <v>215.91</v>
      </c>
      <c r="K32" s="25">
        <f t="shared" si="2"/>
        <v>-534.09</v>
      </c>
      <c r="L32" s="26"/>
      <c r="M32" s="27">
        <f t="shared" si="4"/>
        <v>-38791.992490566</v>
      </c>
      <c r="N32" s="28" t="s">
        <v>208</v>
      </c>
      <c r="O32" s="29"/>
      <c r="P32" s="29"/>
    </row>
    <row r="33" s="2" customFormat="1" customHeight="1" spans="1:16">
      <c r="A33" s="21"/>
      <c r="B33" s="22" t="s">
        <v>249</v>
      </c>
      <c r="C33" s="23">
        <f>G33/E33</f>
        <v>9.174</v>
      </c>
      <c r="D33" s="21">
        <v>11.5</v>
      </c>
      <c r="E33" s="24">
        <v>50</v>
      </c>
      <c r="F33" s="21" t="s">
        <v>88</v>
      </c>
      <c r="G33" s="25">
        <f>183.48+91.74+91.74+91.74</f>
        <v>458.7</v>
      </c>
      <c r="H33" s="25">
        <f>D33*E33</f>
        <v>575</v>
      </c>
      <c r="I33" s="24" t="s">
        <v>250</v>
      </c>
      <c r="J33" s="25">
        <f t="shared" si="1"/>
        <v>116.3</v>
      </c>
      <c r="K33" s="25">
        <f t="shared" si="2"/>
        <v>-458.7</v>
      </c>
      <c r="L33" s="26"/>
      <c r="M33" s="27">
        <f t="shared" si="4"/>
        <v>-39250.692490566</v>
      </c>
      <c r="N33" s="28" t="s">
        <v>208</v>
      </c>
      <c r="O33" s="29"/>
      <c r="P33" s="29"/>
    </row>
    <row r="34" s="2" customFormat="1" customHeight="1" spans="1:16">
      <c r="A34" s="21"/>
      <c r="B34" s="22" t="s">
        <v>251</v>
      </c>
      <c r="C34" s="23">
        <f>G34/E34</f>
        <v>8.7338</v>
      </c>
      <c r="D34" s="21">
        <v>11.5</v>
      </c>
      <c r="E34" s="24">
        <v>50</v>
      </c>
      <c r="F34" s="21" t="s">
        <v>252</v>
      </c>
      <c r="G34" s="25">
        <f>87.68*3+85.73+87.92</f>
        <v>436.69</v>
      </c>
      <c r="H34" s="25">
        <f>D34*E34</f>
        <v>575</v>
      </c>
      <c r="I34" s="24" t="s">
        <v>253</v>
      </c>
      <c r="J34" s="25">
        <f t="shared" si="1"/>
        <v>138.31</v>
      </c>
      <c r="K34" s="25">
        <f t="shared" si="2"/>
        <v>-436.69</v>
      </c>
      <c r="L34" s="26"/>
      <c r="M34" s="27">
        <f t="shared" si="4"/>
        <v>-39687.382490566</v>
      </c>
      <c r="N34" s="28" t="s">
        <v>208</v>
      </c>
      <c r="O34" s="29"/>
      <c r="P34" s="29"/>
    </row>
    <row r="35" s="2" customFormat="1" customHeight="1" spans="1:16">
      <c r="A35" s="21"/>
      <c r="B35" s="81"/>
      <c r="C35" s="81"/>
      <c r="D35" s="81"/>
      <c r="E35" s="92" t="s">
        <v>70</v>
      </c>
      <c r="F35" s="81"/>
      <c r="G35" s="81">
        <f>SUM(G3:G34)</f>
        <v>22534.31</v>
      </c>
      <c r="H35" s="93">
        <f>SUM(H3:H34)</f>
        <v>28539.5</v>
      </c>
      <c r="I35" s="81"/>
      <c r="J35" s="81"/>
      <c r="K35" s="81"/>
      <c r="L35" s="26"/>
      <c r="M35" s="25"/>
      <c r="N35" s="28"/>
      <c r="O35" s="29"/>
      <c r="P35" s="29"/>
    </row>
    <row r="36" s="2" customFormat="1" customHeight="1" spans="1:16">
      <c r="A36" s="43"/>
      <c r="B36" s="94"/>
      <c r="C36" s="94"/>
      <c r="D36" s="94"/>
      <c r="E36" s="94"/>
      <c r="F36" s="94"/>
      <c r="G36" s="94"/>
      <c r="H36" s="94"/>
      <c r="I36" s="94" t="s">
        <v>71</v>
      </c>
      <c r="J36" s="94">
        <f>SUM(J3:J34)</f>
        <v>6005.19</v>
      </c>
      <c r="K36" s="81"/>
      <c r="L36" s="26"/>
      <c r="M36" s="27"/>
      <c r="N36" s="28"/>
      <c r="O36" s="29"/>
      <c r="P36" s="29"/>
    </row>
    <row r="37" s="2" customFormat="1" customHeight="1" spans="1:16">
      <c r="A37" s="21"/>
      <c r="B37" s="22"/>
      <c r="C37" s="23"/>
      <c r="D37" s="21"/>
      <c r="E37" s="24"/>
      <c r="F37" s="21"/>
      <c r="G37" s="25"/>
      <c r="H37" s="25"/>
      <c r="I37" s="24" t="s">
        <v>72</v>
      </c>
      <c r="J37" s="95">
        <f>J36/2</f>
        <v>3002.595</v>
      </c>
      <c r="K37" s="25">
        <f>-J37</f>
        <v>-3002.595</v>
      </c>
      <c r="L37" s="26"/>
      <c r="M37" s="87">
        <f>M34+K37</f>
        <v>-42689.977490566</v>
      </c>
      <c r="N37" s="80" t="s">
        <v>73</v>
      </c>
      <c r="O37" s="29"/>
      <c r="P37" s="29"/>
    </row>
    <row r="38" s="2" customFormat="1" customHeight="1" spans="1:16">
      <c r="A38" s="21"/>
      <c r="B38" s="22"/>
      <c r="C38" s="23"/>
      <c r="D38" s="21"/>
      <c r="E38" s="24"/>
      <c r="F38" s="21"/>
      <c r="G38" s="25"/>
      <c r="H38" s="25"/>
      <c r="I38" s="24"/>
      <c r="J38" s="25"/>
      <c r="K38" s="25"/>
      <c r="L38" s="26">
        <v>70000</v>
      </c>
      <c r="M38" s="25">
        <f>M37+L38</f>
        <v>27310.022509434</v>
      </c>
      <c r="N38" s="28" t="s">
        <v>254</v>
      </c>
      <c r="O38" s="29"/>
      <c r="P38" s="29"/>
    </row>
    <row r="39" s="2" customFormat="1" customHeight="1" spans="1:16">
      <c r="A39" s="21"/>
      <c r="B39" s="22"/>
      <c r="C39" s="23"/>
      <c r="D39" s="21"/>
      <c r="E39" s="24"/>
      <c r="F39" s="21"/>
      <c r="G39" s="25"/>
      <c r="H39" s="25"/>
      <c r="I39" s="24"/>
      <c r="J39" s="25"/>
      <c r="K39" s="25"/>
      <c r="L39" s="26"/>
      <c r="M39" s="25"/>
      <c r="N39" s="28"/>
      <c r="O39" s="29"/>
      <c r="P39" s="29"/>
    </row>
    <row r="40" s="2" customFormat="1" customHeight="1" spans="1:16">
      <c r="A40" s="30"/>
      <c r="B40" s="22"/>
      <c r="C40" s="23"/>
      <c r="D40" s="23"/>
      <c r="E40" s="24"/>
      <c r="F40" s="21"/>
      <c r="G40" s="25"/>
      <c r="H40" s="25"/>
      <c r="I40" s="24"/>
      <c r="J40" s="25"/>
      <c r="K40" s="25"/>
      <c r="L40" s="26"/>
      <c r="M40" s="25"/>
      <c r="N40" s="28"/>
      <c r="O40" s="29"/>
      <c r="P40" s="29"/>
    </row>
    <row r="41" s="2" customFormat="1" customHeight="1" spans="1:16">
      <c r="A41" s="30"/>
      <c r="B41" s="22"/>
      <c r="C41" s="23"/>
      <c r="D41" s="23"/>
      <c r="E41" s="24"/>
      <c r="F41" s="21"/>
      <c r="G41" s="25"/>
      <c r="H41" s="25"/>
      <c r="I41" s="24"/>
      <c r="J41" s="25"/>
      <c r="K41" s="25"/>
      <c r="L41" s="26"/>
      <c r="M41" s="25"/>
      <c r="N41" s="28"/>
      <c r="O41" s="29"/>
      <c r="P41" s="29"/>
    </row>
    <row r="42" s="2" customFormat="1" customHeight="1" spans="1:16">
      <c r="A42" s="30"/>
      <c r="B42" s="22"/>
      <c r="C42" s="23"/>
      <c r="D42" s="23"/>
      <c r="E42" s="24"/>
      <c r="F42" s="21"/>
      <c r="G42" s="25"/>
      <c r="H42" s="25"/>
      <c r="I42" s="24"/>
      <c r="J42" s="25"/>
      <c r="K42" s="25"/>
      <c r="L42" s="26"/>
      <c r="M42" s="25"/>
      <c r="N42" s="28"/>
      <c r="O42" s="29"/>
      <c r="P42" s="29"/>
    </row>
    <row r="43" s="2" customFormat="1" customHeight="1" spans="1:16">
      <c r="A43" s="30"/>
      <c r="B43" s="22"/>
      <c r="C43" s="23"/>
      <c r="D43" s="23"/>
      <c r="E43" s="24"/>
      <c r="F43" s="21"/>
      <c r="G43" s="25"/>
      <c r="H43" s="25"/>
      <c r="I43" s="24"/>
      <c r="J43" s="25"/>
      <c r="K43" s="25"/>
      <c r="L43" s="26"/>
      <c r="M43" s="25"/>
      <c r="N43" s="28"/>
      <c r="O43" s="29"/>
      <c r="P43" s="29"/>
    </row>
    <row r="44" s="2" customFormat="1" customHeight="1" spans="1:16">
      <c r="A44" s="30"/>
      <c r="B44" s="22"/>
      <c r="C44" s="23"/>
      <c r="D44" s="23"/>
      <c r="E44" s="24"/>
      <c r="F44" s="21"/>
      <c r="G44" s="25"/>
      <c r="H44" s="25"/>
      <c r="I44" s="24"/>
      <c r="J44" s="25"/>
      <c r="K44" s="25"/>
      <c r="L44" s="26"/>
      <c r="M44" s="25"/>
      <c r="N44" s="28"/>
      <c r="O44" s="29"/>
      <c r="P44" s="29"/>
    </row>
    <row r="45" s="2" customFormat="1" customHeight="1" spans="1:16">
      <c r="A45" s="30"/>
      <c r="B45" s="22"/>
      <c r="C45" s="23"/>
      <c r="D45" s="23"/>
      <c r="E45" s="24"/>
      <c r="F45" s="21"/>
      <c r="G45" s="25"/>
      <c r="H45" s="25"/>
      <c r="I45" s="24"/>
      <c r="J45" s="25"/>
      <c r="K45" s="25"/>
      <c r="L45" s="26"/>
      <c r="M45" s="25"/>
      <c r="N45" s="28"/>
      <c r="O45" s="29"/>
      <c r="P45" s="29"/>
    </row>
    <row r="46" s="2" customFormat="1" customHeight="1" spans="1:16">
      <c r="A46" s="21"/>
      <c r="B46" s="22"/>
      <c r="C46" s="23"/>
      <c r="D46" s="25"/>
      <c r="E46" s="24"/>
      <c r="F46" s="21"/>
      <c r="G46" s="25"/>
      <c r="H46" s="25"/>
      <c r="I46" s="24"/>
      <c r="J46" s="25"/>
      <c r="K46" s="25"/>
      <c r="L46" s="26"/>
      <c r="M46" s="25"/>
      <c r="N46" s="28"/>
      <c r="O46" s="29"/>
      <c r="P46" s="29"/>
    </row>
    <row r="47" s="2" customFormat="1" customHeight="1" spans="1:16">
      <c r="A47" s="21"/>
      <c r="B47" s="22"/>
      <c r="C47" s="23"/>
      <c r="D47" s="25"/>
      <c r="E47" s="24"/>
      <c r="F47" s="21"/>
      <c r="G47" s="25"/>
      <c r="H47" s="25"/>
      <c r="I47" s="24"/>
      <c r="J47" s="25"/>
      <c r="K47" s="25"/>
      <c r="L47" s="26"/>
      <c r="M47" s="25"/>
      <c r="N47" s="28"/>
      <c r="O47" s="29"/>
      <c r="P47" s="29"/>
    </row>
    <row r="48" s="2" customFormat="1" customHeight="1" spans="1:16">
      <c r="A48" s="21"/>
      <c r="B48" s="22"/>
      <c r="C48" s="23"/>
      <c r="D48" s="25"/>
      <c r="E48" s="24"/>
      <c r="F48" s="21"/>
      <c r="G48" s="25"/>
      <c r="H48" s="25"/>
      <c r="I48" s="24"/>
      <c r="J48" s="25"/>
      <c r="K48" s="25"/>
      <c r="L48" s="26"/>
      <c r="M48" s="25"/>
      <c r="N48" s="28"/>
      <c r="O48" s="29"/>
      <c r="P48" s="29"/>
    </row>
    <row r="49" s="2" customFormat="1" customHeight="1" spans="1:16">
      <c r="A49" s="21"/>
      <c r="B49" s="22"/>
      <c r="C49" s="23"/>
      <c r="D49" s="25"/>
      <c r="E49" s="24"/>
      <c r="F49" s="21"/>
      <c r="G49" s="25"/>
      <c r="H49" s="25"/>
      <c r="I49" s="24"/>
      <c r="J49" s="25"/>
      <c r="K49" s="25"/>
      <c r="L49" s="26"/>
      <c r="M49" s="25"/>
      <c r="N49" s="28"/>
      <c r="O49" s="29"/>
      <c r="P49" s="29"/>
    </row>
    <row r="50" s="2" customFormat="1" customHeight="1" spans="1:16">
      <c r="A50" s="21"/>
      <c r="B50" s="22"/>
      <c r="C50" s="23"/>
      <c r="D50" s="25"/>
      <c r="E50" s="24"/>
      <c r="F50" s="21"/>
      <c r="G50" s="25"/>
      <c r="H50" s="25"/>
      <c r="I50" s="24"/>
      <c r="J50" s="25"/>
      <c r="K50" s="25"/>
      <c r="L50" s="26"/>
      <c r="M50" s="25"/>
      <c r="N50" s="28"/>
      <c r="O50" s="29"/>
      <c r="P50" s="29"/>
    </row>
    <row r="51" s="2" customFormat="1" customHeight="1" spans="1:16">
      <c r="A51" s="21"/>
      <c r="B51" s="22"/>
      <c r="C51" s="23"/>
      <c r="D51" s="25"/>
      <c r="E51" s="24"/>
      <c r="F51" s="21"/>
      <c r="G51" s="25"/>
      <c r="H51" s="25"/>
      <c r="I51" s="24"/>
      <c r="J51" s="25"/>
      <c r="K51" s="25"/>
      <c r="L51" s="26"/>
      <c r="M51" s="25"/>
      <c r="N51" s="28"/>
      <c r="O51" s="29"/>
      <c r="P51" s="29"/>
    </row>
    <row r="52" s="2" customFormat="1" customHeight="1" spans="1:16">
      <c r="A52" s="21"/>
      <c r="B52" s="22"/>
      <c r="C52" s="23"/>
      <c r="D52" s="25"/>
      <c r="E52" s="24"/>
      <c r="F52" s="21"/>
      <c r="G52" s="25"/>
      <c r="H52" s="25"/>
      <c r="I52" s="24"/>
      <c r="J52" s="25"/>
      <c r="K52" s="25"/>
      <c r="L52" s="26"/>
      <c r="M52" s="25"/>
      <c r="N52" s="28"/>
      <c r="O52" s="29"/>
      <c r="P52" s="29"/>
    </row>
    <row r="53" s="2" customFormat="1" customHeight="1" spans="1:16">
      <c r="A53" s="21"/>
      <c r="B53" s="22"/>
      <c r="C53" s="23"/>
      <c r="D53" s="25"/>
      <c r="E53" s="24"/>
      <c r="F53" s="21"/>
      <c r="G53" s="25"/>
      <c r="H53" s="25"/>
      <c r="I53" s="24"/>
      <c r="J53" s="25"/>
      <c r="K53" s="25"/>
      <c r="L53" s="26"/>
      <c r="M53" s="25"/>
      <c r="N53" s="28"/>
      <c r="O53" s="29"/>
      <c r="P53" s="29"/>
    </row>
    <row r="54" s="2" customFormat="1" customHeight="1" spans="1:16">
      <c r="A54" s="21"/>
      <c r="B54" s="22"/>
      <c r="C54" s="23"/>
      <c r="D54" s="25"/>
      <c r="E54" s="24"/>
      <c r="F54" s="21"/>
      <c r="G54" s="25"/>
      <c r="H54" s="25"/>
      <c r="I54" s="24"/>
      <c r="J54" s="25"/>
      <c r="K54" s="25"/>
      <c r="L54" s="26"/>
      <c r="M54" s="25"/>
      <c r="N54" s="28"/>
      <c r="O54" s="29"/>
      <c r="P54" s="29"/>
    </row>
    <row r="55" s="2" customFormat="1" customHeight="1" spans="1:16">
      <c r="A55" s="21"/>
      <c r="B55" s="29"/>
      <c r="C55" s="23"/>
      <c r="D55" s="25"/>
      <c r="E55" s="24"/>
      <c r="F55" s="21"/>
      <c r="G55" s="25"/>
      <c r="H55" s="25"/>
      <c r="I55" s="24"/>
      <c r="J55" s="25"/>
      <c r="K55" s="25"/>
      <c r="L55" s="26"/>
      <c r="M55" s="25"/>
      <c r="N55" s="28"/>
      <c r="O55" s="29"/>
      <c r="P55" s="29"/>
    </row>
    <row r="56" s="2" customFormat="1" customHeight="1" spans="1:16">
      <c r="A56" s="21"/>
      <c r="B56" s="22"/>
      <c r="C56" s="23"/>
      <c r="D56" s="25"/>
      <c r="E56" s="24"/>
      <c r="F56" s="21"/>
      <c r="G56" s="25"/>
      <c r="H56" s="25"/>
      <c r="I56" s="24"/>
      <c r="J56" s="25"/>
      <c r="K56" s="25"/>
      <c r="L56" s="26"/>
      <c r="M56" s="25"/>
      <c r="N56" s="28"/>
      <c r="O56" s="29"/>
      <c r="P56" s="29"/>
    </row>
    <row r="57" s="2" customFormat="1" customHeight="1" spans="1:16">
      <c r="A57" s="21"/>
      <c r="B57" s="22"/>
      <c r="C57" s="23"/>
      <c r="D57" s="25"/>
      <c r="E57" s="24"/>
      <c r="F57" s="21"/>
      <c r="G57" s="25"/>
      <c r="H57" s="25"/>
      <c r="I57" s="24"/>
      <c r="J57" s="25"/>
      <c r="K57" s="25"/>
      <c r="L57" s="26"/>
      <c r="M57" s="25"/>
      <c r="N57" s="28"/>
      <c r="O57" s="29"/>
      <c r="P57" s="29"/>
    </row>
    <row r="58" s="2" customFormat="1" customHeight="1" spans="1:16">
      <c r="A58" s="21"/>
      <c r="B58" s="22"/>
      <c r="C58" s="23"/>
      <c r="D58" s="25"/>
      <c r="E58" s="24"/>
      <c r="F58" s="21"/>
      <c r="G58" s="25"/>
      <c r="H58" s="25"/>
      <c r="I58" s="24"/>
      <c r="J58" s="25"/>
      <c r="K58" s="25"/>
      <c r="L58" s="26"/>
      <c r="M58" s="25"/>
      <c r="N58" s="28"/>
      <c r="O58" s="29"/>
      <c r="P58" s="29"/>
    </row>
    <row r="59" s="2" customFormat="1" customHeight="1" spans="1:16">
      <c r="A59" s="21"/>
      <c r="B59" s="22"/>
      <c r="C59" s="23"/>
      <c r="D59" s="25"/>
      <c r="E59" s="24"/>
      <c r="F59" s="21"/>
      <c r="G59" s="25"/>
      <c r="H59" s="25"/>
      <c r="I59" s="24"/>
      <c r="J59" s="25"/>
      <c r="K59" s="25"/>
      <c r="L59" s="26"/>
      <c r="M59" s="25"/>
      <c r="N59" s="28"/>
      <c r="O59" s="29"/>
      <c r="P59" s="29"/>
    </row>
    <row r="60" s="2" customFormat="1" customHeight="1" spans="1:16">
      <c r="A60" s="21"/>
      <c r="B60" s="22"/>
      <c r="C60" s="31"/>
      <c r="D60" s="32"/>
      <c r="E60" s="24"/>
      <c r="F60" s="21"/>
      <c r="G60" s="25"/>
      <c r="H60" s="25"/>
      <c r="I60" s="24"/>
      <c r="J60" s="25"/>
      <c r="K60" s="25"/>
      <c r="L60" s="26"/>
      <c r="M60" s="25"/>
      <c r="N60" s="28"/>
      <c r="O60" s="29"/>
      <c r="P60" s="29"/>
    </row>
    <row r="61" s="2" customFormat="1" customHeight="1" spans="1:16">
      <c r="A61" s="21"/>
      <c r="B61" s="22"/>
      <c r="C61" s="23"/>
      <c r="D61" s="32"/>
      <c r="E61" s="24"/>
      <c r="F61" s="21"/>
      <c r="G61" s="25"/>
      <c r="H61" s="25"/>
      <c r="I61" s="24"/>
      <c r="J61" s="25"/>
      <c r="K61" s="25"/>
      <c r="L61" s="26"/>
      <c r="M61" s="25"/>
      <c r="N61" s="28"/>
      <c r="O61" s="29"/>
      <c r="P61" s="29"/>
    </row>
    <row r="62" s="2" customFormat="1" customHeight="1" spans="1:16">
      <c r="A62" s="21"/>
      <c r="B62" s="22"/>
      <c r="C62" s="23"/>
      <c r="D62" s="21"/>
      <c r="E62" s="24"/>
      <c r="F62" s="21"/>
      <c r="G62" s="25"/>
      <c r="H62" s="25"/>
      <c r="I62" s="24"/>
      <c r="J62" s="25"/>
      <c r="K62" s="25"/>
      <c r="L62" s="26"/>
      <c r="M62" s="25"/>
      <c r="N62" s="28"/>
      <c r="O62" s="29"/>
      <c r="P62" s="29"/>
    </row>
    <row r="63" s="2" customFormat="1" customHeight="1" spans="1:16">
      <c r="A63" s="21"/>
      <c r="B63" s="22"/>
      <c r="C63" s="23"/>
      <c r="D63" s="25"/>
      <c r="E63" s="24"/>
      <c r="F63" s="21"/>
      <c r="G63" s="25"/>
      <c r="H63" s="25"/>
      <c r="I63" s="24"/>
      <c r="J63" s="25"/>
      <c r="K63" s="25"/>
      <c r="L63" s="26"/>
      <c r="M63" s="25"/>
      <c r="N63" s="28"/>
      <c r="O63" s="29"/>
      <c r="P63" s="29"/>
    </row>
    <row r="64" s="2" customFormat="1" customHeight="1" spans="1:16">
      <c r="A64" s="21"/>
      <c r="B64" s="22"/>
      <c r="C64" s="23"/>
      <c r="D64" s="25"/>
      <c r="E64" s="24"/>
      <c r="F64" s="21"/>
      <c r="G64" s="25"/>
      <c r="H64" s="25"/>
      <c r="I64" s="24"/>
      <c r="J64" s="25"/>
      <c r="K64" s="25"/>
      <c r="L64" s="26"/>
      <c r="M64" s="25"/>
      <c r="N64" s="28"/>
      <c r="O64" s="29"/>
      <c r="P64" s="29"/>
    </row>
    <row r="65" s="2" customFormat="1" customHeight="1" spans="1:16">
      <c r="A65" s="21"/>
      <c r="B65" s="22"/>
      <c r="C65" s="23"/>
      <c r="D65" s="25"/>
      <c r="E65" s="24"/>
      <c r="F65" s="21"/>
      <c r="G65" s="25"/>
      <c r="H65" s="25"/>
      <c r="I65" s="24"/>
      <c r="J65" s="25"/>
      <c r="K65" s="25"/>
      <c r="L65" s="26"/>
      <c r="M65" s="25"/>
      <c r="N65" s="28"/>
      <c r="O65" s="29"/>
      <c r="P65" s="29"/>
    </row>
    <row r="66" s="2" customFormat="1" customHeight="1" spans="1:16">
      <c r="A66" s="21"/>
      <c r="B66" s="22"/>
      <c r="C66" s="23"/>
      <c r="D66" s="25"/>
      <c r="E66" s="24"/>
      <c r="F66" s="21"/>
      <c r="G66" s="25"/>
      <c r="H66" s="25"/>
      <c r="I66" s="24"/>
      <c r="J66" s="25"/>
      <c r="K66" s="25"/>
      <c r="L66" s="26"/>
      <c r="M66" s="25"/>
      <c r="N66" s="28"/>
      <c r="O66" s="29"/>
      <c r="P66" s="29"/>
    </row>
    <row r="67" s="2" customFormat="1" customHeight="1" spans="1:16">
      <c r="A67" s="21"/>
      <c r="B67" s="22"/>
      <c r="C67" s="23"/>
      <c r="D67" s="25"/>
      <c r="E67" s="24"/>
      <c r="F67" s="21"/>
      <c r="G67" s="25"/>
      <c r="H67" s="25"/>
      <c r="I67" s="24"/>
      <c r="J67" s="25"/>
      <c r="K67" s="25"/>
      <c r="L67" s="26"/>
      <c r="M67" s="25"/>
      <c r="N67" s="28"/>
      <c r="O67" s="29"/>
      <c r="P67" s="29"/>
    </row>
    <row r="68" s="2" customFormat="1" customHeight="1" spans="1:16">
      <c r="A68" s="30"/>
      <c r="B68" s="22"/>
      <c r="C68" s="23"/>
      <c r="D68" s="23"/>
      <c r="E68" s="24"/>
      <c r="F68" s="21"/>
      <c r="G68" s="25"/>
      <c r="H68" s="25"/>
      <c r="I68" s="24"/>
      <c r="J68" s="25"/>
      <c r="K68" s="25"/>
      <c r="L68" s="26"/>
      <c r="M68" s="25"/>
      <c r="N68" s="28"/>
      <c r="O68" s="29"/>
      <c r="P68" s="29"/>
    </row>
    <row r="69" s="2" customFormat="1" customHeight="1" spans="1:16">
      <c r="A69" s="33"/>
      <c r="B69" s="34"/>
      <c r="C69" s="35"/>
      <c r="D69" s="35"/>
      <c r="E69" s="36"/>
      <c r="F69" s="36"/>
      <c r="G69" s="37"/>
      <c r="H69" s="37"/>
      <c r="I69" s="36"/>
      <c r="J69" s="38"/>
      <c r="K69" s="25"/>
      <c r="L69" s="26"/>
      <c r="M69" s="25"/>
      <c r="N69" s="28"/>
      <c r="O69" s="29"/>
      <c r="P69" s="29"/>
    </row>
    <row r="70" s="2" customFormat="1" customHeight="1" spans="1:16">
      <c r="A70" s="39"/>
      <c r="B70" s="40"/>
      <c r="C70" s="41"/>
      <c r="D70" s="41"/>
      <c r="E70" s="42"/>
      <c r="F70" s="43"/>
      <c r="G70" s="44"/>
      <c r="H70" s="44"/>
      <c r="I70" s="42"/>
      <c r="J70" s="25"/>
      <c r="K70" s="25"/>
      <c r="L70" s="26"/>
      <c r="M70" s="25"/>
      <c r="N70" s="28"/>
      <c r="O70" s="29"/>
      <c r="P70" s="29"/>
    </row>
    <row r="71" s="2" customFormat="1" customHeight="1" spans="1:16">
      <c r="A71" s="21"/>
      <c r="B71" s="21"/>
      <c r="C71" s="23"/>
      <c r="D71" s="23"/>
      <c r="E71" s="24"/>
      <c r="F71" s="21"/>
      <c r="G71" s="25"/>
      <c r="H71" s="25"/>
      <c r="I71" s="24"/>
      <c r="J71" s="25"/>
      <c r="K71" s="25"/>
      <c r="L71" s="26"/>
      <c r="M71" s="25"/>
      <c r="N71" s="28"/>
      <c r="O71" s="29"/>
      <c r="P71" s="29"/>
    </row>
    <row r="72" s="2" customFormat="1" customHeight="1" spans="1:16">
      <c r="A72" s="21"/>
      <c r="B72" s="21"/>
      <c r="C72" s="23"/>
      <c r="D72" s="23"/>
      <c r="E72" s="24"/>
      <c r="F72" s="21"/>
      <c r="G72" s="25"/>
      <c r="H72" s="25"/>
      <c r="I72" s="24"/>
      <c r="J72" s="25"/>
      <c r="K72" s="25"/>
      <c r="L72" s="26"/>
      <c r="M72" s="25"/>
      <c r="N72" s="28"/>
      <c r="O72" s="29"/>
      <c r="P72" s="29"/>
    </row>
    <row r="73" s="2" customFormat="1" customHeight="1" spans="1:16">
      <c r="A73" s="21"/>
      <c r="B73" s="22"/>
      <c r="C73" s="23"/>
      <c r="D73" s="23"/>
      <c r="E73" s="24"/>
      <c r="F73" s="21"/>
      <c r="G73" s="25"/>
      <c r="H73" s="25"/>
      <c r="I73" s="24"/>
      <c r="J73" s="25"/>
      <c r="K73" s="25"/>
      <c r="L73" s="26"/>
      <c r="M73" s="25"/>
      <c r="N73" s="28"/>
      <c r="O73" s="29"/>
      <c r="P73" s="29"/>
    </row>
    <row r="74" s="2" customFormat="1" customHeight="1" spans="1:16">
      <c r="A74" s="21"/>
      <c r="B74" s="22"/>
      <c r="C74" s="23"/>
      <c r="D74" s="23"/>
      <c r="E74" s="24"/>
      <c r="F74" s="21"/>
      <c r="G74" s="25"/>
      <c r="H74" s="25"/>
      <c r="I74" s="24"/>
      <c r="J74" s="25"/>
      <c r="K74" s="25"/>
      <c r="L74" s="26"/>
      <c r="M74" s="25"/>
      <c r="N74" s="28"/>
      <c r="O74" s="29"/>
      <c r="P74" s="29"/>
    </row>
    <row r="75" s="2" customFormat="1" customHeight="1" spans="1:16">
      <c r="A75" s="21"/>
      <c r="B75" s="22"/>
      <c r="C75" s="23"/>
      <c r="D75" s="23"/>
      <c r="E75" s="24"/>
      <c r="F75" s="21"/>
      <c r="G75" s="25"/>
      <c r="H75" s="25"/>
      <c r="I75" s="24"/>
      <c r="J75" s="25"/>
      <c r="K75" s="25"/>
      <c r="L75" s="26"/>
      <c r="M75" s="25"/>
      <c r="N75" s="28"/>
      <c r="O75" s="29"/>
      <c r="P75" s="29"/>
    </row>
    <row r="76" s="2" customFormat="1" customHeight="1" spans="1:16">
      <c r="A76" s="21"/>
      <c r="B76" s="21"/>
      <c r="C76" s="23"/>
      <c r="D76" s="23"/>
      <c r="E76" s="24"/>
      <c r="F76" s="21"/>
      <c r="G76" s="25"/>
      <c r="H76" s="25"/>
      <c r="I76" s="24"/>
      <c r="J76" s="25"/>
      <c r="K76" s="25"/>
      <c r="L76" s="26"/>
      <c r="M76" s="25"/>
      <c r="N76" s="28"/>
      <c r="O76" s="29"/>
      <c r="P76" s="29"/>
    </row>
    <row r="77" s="2" customFormat="1" customHeight="1" spans="1:16">
      <c r="A77" s="21"/>
      <c r="B77" s="21"/>
      <c r="C77" s="23"/>
      <c r="D77" s="23"/>
      <c r="E77" s="24"/>
      <c r="F77" s="21"/>
      <c r="G77" s="25"/>
      <c r="H77" s="25"/>
      <c r="I77" s="24"/>
      <c r="J77" s="25"/>
      <c r="K77" s="25"/>
      <c r="L77" s="26"/>
      <c r="M77" s="25"/>
      <c r="N77" s="28"/>
      <c r="O77" s="29"/>
      <c r="P77" s="29"/>
    </row>
    <row r="78" s="2" customFormat="1" customHeight="1" spans="1:16">
      <c r="A78" s="29"/>
      <c r="B78" s="29"/>
      <c r="C78" s="35"/>
      <c r="D78" s="35"/>
      <c r="E78" s="45"/>
      <c r="F78" s="45"/>
      <c r="G78" s="29"/>
      <c r="H78" s="37"/>
      <c r="I78" s="36"/>
      <c r="J78" s="29"/>
      <c r="K78" s="37"/>
      <c r="L78" s="46"/>
      <c r="M78" s="37"/>
      <c r="N78" s="47"/>
      <c r="O78" s="29"/>
      <c r="P78" s="29"/>
    </row>
    <row r="79" s="2" customFormat="1" customHeight="1" spans="1:16">
      <c r="A79" s="29"/>
      <c r="B79" s="34"/>
      <c r="C79" s="35"/>
      <c r="D79" s="29"/>
      <c r="E79" s="36"/>
      <c r="F79" s="29"/>
      <c r="G79" s="37"/>
      <c r="H79" s="37"/>
      <c r="I79" s="36"/>
      <c r="J79" s="37"/>
      <c r="K79" s="37"/>
      <c r="L79" s="46"/>
      <c r="M79" s="37"/>
      <c r="N79" s="47"/>
      <c r="O79" s="29"/>
      <c r="P79" s="29"/>
    </row>
    <row r="80" s="2" customFormat="1" customHeight="1" spans="1:16">
      <c r="A80" s="29"/>
      <c r="B80" s="34"/>
      <c r="C80" s="35"/>
      <c r="D80" s="29"/>
      <c r="E80" s="36"/>
      <c r="F80" s="29"/>
      <c r="G80" s="37"/>
      <c r="H80" s="37"/>
      <c r="I80" s="36"/>
      <c r="J80" s="37"/>
      <c r="K80" s="37"/>
      <c r="L80" s="46"/>
      <c r="M80" s="37"/>
      <c r="N80" s="47"/>
      <c r="O80" s="29"/>
      <c r="P80" s="29"/>
    </row>
    <row r="81" s="2" customFormat="1" customHeight="1" spans="1:16">
      <c r="A81" s="29"/>
      <c r="B81" s="34"/>
      <c r="C81" s="35"/>
      <c r="D81" s="29"/>
      <c r="E81" s="36"/>
      <c r="F81" s="29"/>
      <c r="G81" s="37"/>
      <c r="H81" s="37"/>
      <c r="I81" s="36"/>
      <c r="J81" s="37"/>
      <c r="K81" s="37"/>
      <c r="L81" s="46"/>
      <c r="M81" s="37"/>
      <c r="N81" s="47"/>
      <c r="O81" s="29"/>
      <c r="P81" s="29"/>
    </row>
  </sheetData>
  <autoFilter xmlns:etc="http://www.wps.cn/officeDocument/2017/etCustomData" ref="A2:B78" etc:filterBottomFollowUsedRange="0">
    <extLst/>
  </autoFilter>
  <mergeCells count="3">
    <mergeCell ref="A1:I1"/>
    <mergeCell ref="E69:F69"/>
    <mergeCell ref="E78:F78"/>
  </mergeCells>
  <pageMargins left="0.7" right="0.7" top="0.75" bottom="0.75" header="0.3" footer="0.3"/>
  <pageSetup paperSize="9" scale="75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D42"/>
  <sheetViews>
    <sheetView zoomScale="130" zoomScaleNormal="130" workbookViewId="0">
      <pane xSplit="3" ySplit="2" topLeftCell="D38" activePane="bottomRight" state="frozen"/>
      <selection/>
      <selection pane="topRight"/>
      <selection pane="bottomLeft"/>
      <selection pane="bottomRight" activeCell="N42" sqref="N42"/>
    </sheetView>
  </sheetViews>
  <sheetFormatPr defaultColWidth="9.06666666666667" defaultRowHeight="54" customHeight="1"/>
  <cols>
    <col min="1" max="1" width="8.125" style="3" customWidth="1"/>
    <col min="2" max="2" width="10.5" style="3" customWidth="1"/>
    <col min="3" max="3" width="26.5" style="65" customWidth="1"/>
    <col min="4" max="4" width="12.1333333333333" style="66" customWidth="1"/>
    <col min="5" max="5" width="8.75" style="5" customWidth="1"/>
    <col min="6" max="6" width="6.5" style="6" customWidth="1"/>
    <col min="7" max="7" width="6.5" style="3" customWidth="1"/>
    <col min="8" max="8" width="11.875" style="7" customWidth="1"/>
    <col min="9" max="9" width="8.75" style="7" customWidth="1"/>
    <col min="10" max="10" width="14.125" style="6" customWidth="1"/>
    <col min="11" max="11" width="10.375" style="5" customWidth="1"/>
    <col min="12" max="12" width="9.875" style="7" customWidth="1"/>
    <col min="13" max="13" width="10.375" style="7" customWidth="1"/>
    <col min="14" max="14" width="11.9333333333333" style="7" customWidth="1"/>
    <col min="15" max="15" width="24.125" style="67" customWidth="1"/>
    <col min="16" max="16" width="9.06666666666667" style="3" customWidth="1"/>
    <col min="17" max="16384" width="9.06666666666667" style="3"/>
  </cols>
  <sheetData>
    <row r="1" customHeight="1" spans="1:30">
      <c r="A1" s="68" t="s">
        <v>255</v>
      </c>
      <c r="B1" s="68"/>
      <c r="C1" s="68"/>
      <c r="D1" s="68"/>
      <c r="E1" s="69"/>
      <c r="F1" s="68"/>
      <c r="G1" s="68"/>
      <c r="H1" s="70"/>
      <c r="I1" s="68"/>
      <c r="J1" s="68"/>
    </row>
    <row r="2" s="1" customFormat="1" ht="35.65" customHeight="1" spans="1:30">
      <c r="A2" s="14" t="s">
        <v>1</v>
      </c>
      <c r="B2" s="14" t="s">
        <v>2</v>
      </c>
      <c r="C2" s="71" t="s">
        <v>3</v>
      </c>
      <c r="D2" s="72" t="s">
        <v>4</v>
      </c>
      <c r="E2" s="16" t="s">
        <v>5</v>
      </c>
      <c r="F2" s="17" t="s">
        <v>6</v>
      </c>
      <c r="G2" s="14" t="s">
        <v>7</v>
      </c>
      <c r="H2" s="18" t="s">
        <v>8</v>
      </c>
      <c r="I2" s="18" t="s">
        <v>9</v>
      </c>
      <c r="J2" s="17" t="s">
        <v>10</v>
      </c>
      <c r="K2" s="16" t="s">
        <v>11</v>
      </c>
      <c r="L2" s="18" t="s">
        <v>12</v>
      </c>
      <c r="M2" s="18" t="s">
        <v>13</v>
      </c>
      <c r="N2" s="18" t="s">
        <v>14</v>
      </c>
      <c r="O2" s="73" t="s">
        <v>15</v>
      </c>
    </row>
    <row r="3" s="29" customFormat="1" customHeight="1" spans="1:30">
      <c r="A3" s="21"/>
      <c r="B3" s="21"/>
      <c r="C3" s="21" t="s">
        <v>256</v>
      </c>
      <c r="D3" s="31">
        <f>H3/F3/52</f>
        <v>0.220192307692308</v>
      </c>
      <c r="E3" s="23">
        <v>0.3</v>
      </c>
      <c r="F3" s="24">
        <v>3</v>
      </c>
      <c r="G3" s="21" t="s">
        <v>19</v>
      </c>
      <c r="H3" s="31">
        <v>34.35</v>
      </c>
      <c r="I3" s="23">
        <f>E3*F3*52</f>
        <v>46.8</v>
      </c>
      <c r="J3" s="24" t="s">
        <v>257</v>
      </c>
      <c r="K3" s="23">
        <f>I3-H3</f>
        <v>12.45</v>
      </c>
      <c r="L3" s="25">
        <f>-H3</f>
        <v>-34.35</v>
      </c>
      <c r="M3" s="25">
        <v>27310.022509434</v>
      </c>
      <c r="N3" s="25">
        <f>M3+L3</f>
        <v>27275.672509434</v>
      </c>
      <c r="O3" s="74"/>
    </row>
    <row r="4" s="29" customFormat="1" customHeight="1" spans="1:30">
      <c r="A4" s="21"/>
      <c r="B4" s="21"/>
      <c r="C4" s="21" t="s">
        <v>258</v>
      </c>
      <c r="D4" s="31">
        <f t="shared" ref="D4:D10" si="0">H4/F4</f>
        <v>0.2872</v>
      </c>
      <c r="E4" s="23">
        <v>0.5</v>
      </c>
      <c r="F4" s="24">
        <v>200</v>
      </c>
      <c r="G4" s="21" t="s">
        <v>76</v>
      </c>
      <c r="H4" s="31">
        <v>57.44</v>
      </c>
      <c r="I4" s="21">
        <f t="shared" ref="I4:I11" si="1">E4*F4</f>
        <v>100</v>
      </c>
      <c r="J4" s="24"/>
      <c r="K4" s="23">
        <f>I4-H4</f>
        <v>42.56</v>
      </c>
      <c r="L4" s="25">
        <f>-H4</f>
        <v>-57.44</v>
      </c>
      <c r="M4" s="25"/>
      <c r="N4" s="25">
        <f>N3+L4+M4</f>
        <v>27218.232509434</v>
      </c>
      <c r="O4" s="74"/>
    </row>
    <row r="5" s="29" customFormat="1" customHeight="1" spans="1:30">
      <c r="A5" s="21"/>
      <c r="B5" s="21"/>
      <c r="C5" s="22" t="s">
        <v>259</v>
      </c>
      <c r="D5" s="31">
        <f t="shared" si="0"/>
        <v>0.298</v>
      </c>
      <c r="E5" s="23">
        <v>0.5</v>
      </c>
      <c r="F5" s="24">
        <v>400</v>
      </c>
      <c r="G5" s="21" t="s">
        <v>106</v>
      </c>
      <c r="H5" s="31">
        <v>119.2</v>
      </c>
      <c r="I5" s="25">
        <f t="shared" si="1"/>
        <v>200</v>
      </c>
      <c r="J5" s="24"/>
      <c r="K5" s="23">
        <f t="shared" ref="K5:K41" si="2">I5-H5</f>
        <v>80.8</v>
      </c>
      <c r="L5" s="25">
        <f t="shared" ref="L5:L41" si="3">-H5</f>
        <v>-119.2</v>
      </c>
      <c r="M5" s="25"/>
      <c r="N5" s="25">
        <f>N4+L5+M5</f>
        <v>27099.032509434</v>
      </c>
      <c r="O5" s="74"/>
    </row>
    <row r="6" s="29" customFormat="1" customHeight="1" spans="1:30">
      <c r="A6" s="21"/>
      <c r="B6" s="21"/>
      <c r="C6" s="22" t="s">
        <v>260</v>
      </c>
      <c r="D6" s="31">
        <f t="shared" si="0"/>
        <v>0.0826</v>
      </c>
      <c r="E6" s="23">
        <v>0.2</v>
      </c>
      <c r="F6" s="24">
        <v>200</v>
      </c>
      <c r="G6" s="21" t="s">
        <v>76</v>
      </c>
      <c r="H6" s="31">
        <v>16.52</v>
      </c>
      <c r="I6" s="25">
        <f t="shared" si="1"/>
        <v>40</v>
      </c>
      <c r="J6" s="24"/>
      <c r="K6" s="23">
        <f t="shared" si="2"/>
        <v>23.48</v>
      </c>
      <c r="L6" s="25">
        <f t="shared" si="3"/>
        <v>-16.52</v>
      </c>
      <c r="M6" s="25"/>
      <c r="N6" s="25">
        <f t="shared" ref="N6:N40" si="4">N5+L6+M6</f>
        <v>27082.512509434</v>
      </c>
      <c r="O6" s="74"/>
    </row>
    <row r="7" s="64" customFormat="1" customHeight="1" spans="1:30">
      <c r="A7" s="21"/>
      <c r="B7" s="21"/>
      <c r="C7" s="22" t="s">
        <v>261</v>
      </c>
      <c r="D7" s="23">
        <f t="shared" si="0"/>
        <v>0.689375</v>
      </c>
      <c r="E7" s="23">
        <v>0.8</v>
      </c>
      <c r="F7" s="24">
        <v>144</v>
      </c>
      <c r="G7" s="21" t="s">
        <v>106</v>
      </c>
      <c r="H7" s="25">
        <v>99.27</v>
      </c>
      <c r="I7" s="25">
        <f t="shared" si="1"/>
        <v>115.2</v>
      </c>
      <c r="J7" s="24"/>
      <c r="K7" s="23">
        <f t="shared" si="2"/>
        <v>15.93</v>
      </c>
      <c r="L7" s="25">
        <f t="shared" si="3"/>
        <v>-99.27</v>
      </c>
      <c r="M7" s="25"/>
      <c r="N7" s="25">
        <f t="shared" si="4"/>
        <v>26983.242509434</v>
      </c>
      <c r="O7" s="74"/>
    </row>
    <row r="8" s="64" customFormat="1" customHeight="1" spans="1:30">
      <c r="A8" s="21"/>
      <c r="B8" s="21"/>
      <c r="C8" s="22" t="s">
        <v>262</v>
      </c>
      <c r="D8" s="23">
        <f t="shared" si="0"/>
        <v>0.337979797979798</v>
      </c>
      <c r="E8" s="23">
        <v>0.5</v>
      </c>
      <c r="F8" s="24">
        <v>198</v>
      </c>
      <c r="G8" s="21" t="s">
        <v>106</v>
      </c>
      <c r="H8" s="25">
        <v>66.92</v>
      </c>
      <c r="I8" s="25">
        <f t="shared" si="1"/>
        <v>99</v>
      </c>
      <c r="J8" s="24"/>
      <c r="K8" s="23">
        <f t="shared" si="2"/>
        <v>32.08</v>
      </c>
      <c r="L8" s="25">
        <f t="shared" si="3"/>
        <v>-66.92</v>
      </c>
      <c r="M8" s="25"/>
      <c r="N8" s="25">
        <f t="shared" si="4"/>
        <v>26916.322509434</v>
      </c>
      <c r="O8" s="74"/>
    </row>
    <row r="9" s="64" customFormat="1" customHeight="1" spans="1:30">
      <c r="A9" s="21"/>
      <c r="B9" s="21"/>
      <c r="C9" s="22" t="s">
        <v>263</v>
      </c>
      <c r="D9" s="25">
        <f t="shared" si="0"/>
        <v>0.272333333333333</v>
      </c>
      <c r="E9" s="23">
        <v>0.4</v>
      </c>
      <c r="F9" s="24">
        <v>300</v>
      </c>
      <c r="G9" s="21" t="s">
        <v>76</v>
      </c>
      <c r="H9" s="25">
        <v>81.7</v>
      </c>
      <c r="I9" s="25">
        <f t="shared" si="1"/>
        <v>120</v>
      </c>
      <c r="J9" s="24"/>
      <c r="K9" s="23">
        <f t="shared" si="2"/>
        <v>38.3</v>
      </c>
      <c r="L9" s="25">
        <f t="shared" si="3"/>
        <v>-81.7</v>
      </c>
      <c r="M9" s="25"/>
      <c r="N9" s="25">
        <f t="shared" si="4"/>
        <v>26834.622509434</v>
      </c>
      <c r="O9" s="74"/>
    </row>
    <row r="10" s="29" customFormat="1" customHeight="1" spans="1:30">
      <c r="A10" s="21"/>
      <c r="B10" s="21"/>
      <c r="C10" s="22" t="s">
        <v>264</v>
      </c>
      <c r="D10" s="25">
        <f t="shared" si="0"/>
        <v>0.218671875</v>
      </c>
      <c r="E10" s="23">
        <v>0.3</v>
      </c>
      <c r="F10" s="21">
        <v>128</v>
      </c>
      <c r="G10" s="21" t="s">
        <v>76</v>
      </c>
      <c r="H10" s="25">
        <v>27.99</v>
      </c>
      <c r="I10" s="25">
        <f t="shared" si="1"/>
        <v>38.4</v>
      </c>
      <c r="J10" s="24"/>
      <c r="K10" s="23">
        <f t="shared" si="2"/>
        <v>10.41</v>
      </c>
      <c r="L10" s="25">
        <f t="shared" si="3"/>
        <v>-27.99</v>
      </c>
      <c r="M10" s="25"/>
      <c r="N10" s="25">
        <f t="shared" si="4"/>
        <v>26806.632509434</v>
      </c>
      <c r="O10" s="74"/>
      <c r="R10" s="75"/>
      <c r="S10" s="76"/>
      <c r="T10" s="35"/>
      <c r="U10" s="36"/>
      <c r="W10" s="37"/>
      <c r="X10" s="37"/>
      <c r="Y10" s="36"/>
      <c r="Z10" s="77"/>
      <c r="AA10" s="37"/>
      <c r="AB10" s="37"/>
      <c r="AC10" s="37"/>
      <c r="AD10" s="78"/>
    </row>
    <row r="11" s="29" customFormat="1" customHeight="1" spans="1:30">
      <c r="A11" s="21"/>
      <c r="B11" s="21"/>
      <c r="C11" s="22" t="s">
        <v>265</v>
      </c>
      <c r="D11" s="31">
        <f>13/F11</f>
        <v>0.144444444444444</v>
      </c>
      <c r="E11" s="23">
        <v>0.3</v>
      </c>
      <c r="F11" s="24">
        <v>90</v>
      </c>
      <c r="G11" s="21" t="s">
        <v>76</v>
      </c>
      <c r="H11" s="25">
        <v>13</v>
      </c>
      <c r="I11" s="25">
        <f t="shared" si="1"/>
        <v>27</v>
      </c>
      <c r="J11" s="24"/>
      <c r="K11" s="23">
        <f t="shared" si="2"/>
        <v>14</v>
      </c>
      <c r="L11" s="25">
        <f t="shared" si="3"/>
        <v>-13</v>
      </c>
      <c r="M11" s="25"/>
      <c r="N11" s="25">
        <f t="shared" si="4"/>
        <v>26793.632509434</v>
      </c>
      <c r="O11" s="74"/>
    </row>
    <row r="12" s="29" customFormat="1" customHeight="1" spans="1:30">
      <c r="A12" s="21"/>
      <c r="B12" s="21"/>
      <c r="C12" s="22" t="s">
        <v>266</v>
      </c>
      <c r="D12" s="31">
        <f>H12/F12</f>
        <v>13.6958333333333</v>
      </c>
      <c r="E12" s="23">
        <v>14.5</v>
      </c>
      <c r="F12" s="24">
        <v>24</v>
      </c>
      <c r="G12" s="21" t="s">
        <v>52</v>
      </c>
      <c r="H12" s="25">
        <v>328.7</v>
      </c>
      <c r="I12" s="25">
        <f>87*4</f>
        <v>348</v>
      </c>
      <c r="J12" s="24"/>
      <c r="K12" s="23">
        <f t="shared" si="2"/>
        <v>19.3</v>
      </c>
      <c r="L12" s="25">
        <f t="shared" si="3"/>
        <v>-328.7</v>
      </c>
      <c r="M12" s="25"/>
      <c r="N12" s="25">
        <f t="shared" si="4"/>
        <v>26464.932509434</v>
      </c>
      <c r="O12" s="79"/>
    </row>
    <row r="13" s="29" customFormat="1" customHeight="1" spans="1:30">
      <c r="A13" s="21"/>
      <c r="B13" s="21"/>
      <c r="C13" s="22" t="s">
        <v>267</v>
      </c>
      <c r="D13" s="31">
        <f>H13/F13</f>
        <v>0.914333333333333</v>
      </c>
      <c r="E13" s="23">
        <v>1.5</v>
      </c>
      <c r="F13" s="24">
        <v>30</v>
      </c>
      <c r="G13" s="21" t="s">
        <v>106</v>
      </c>
      <c r="H13" s="25">
        <v>27.43</v>
      </c>
      <c r="I13" s="25">
        <f>E13*F13</f>
        <v>45</v>
      </c>
      <c r="J13" s="24"/>
      <c r="K13" s="23">
        <f t="shared" si="2"/>
        <v>17.57</v>
      </c>
      <c r="L13" s="25">
        <f t="shared" si="3"/>
        <v>-27.43</v>
      </c>
      <c r="M13" s="21"/>
      <c r="N13" s="25">
        <f t="shared" si="4"/>
        <v>26437.502509434</v>
      </c>
      <c r="O13" s="21"/>
    </row>
    <row r="14" s="29" customFormat="1" customHeight="1" spans="1:30">
      <c r="A14" s="21"/>
      <c r="B14" s="21"/>
      <c r="C14" s="22" t="s">
        <v>268</v>
      </c>
      <c r="D14" s="31">
        <f t="shared" ref="D14:D26" si="5">H14/F14</f>
        <v>4.93</v>
      </c>
      <c r="E14" s="23">
        <v>9.5</v>
      </c>
      <c r="F14" s="24">
        <v>2</v>
      </c>
      <c r="G14" s="21" t="s">
        <v>91</v>
      </c>
      <c r="H14" s="25">
        <v>9.86</v>
      </c>
      <c r="I14" s="25">
        <v>18.8</v>
      </c>
      <c r="J14" s="24"/>
      <c r="K14" s="23">
        <f t="shared" si="2"/>
        <v>8.94</v>
      </c>
      <c r="L14" s="25">
        <f t="shared" si="3"/>
        <v>-9.86</v>
      </c>
      <c r="M14" s="25"/>
      <c r="N14" s="25">
        <f t="shared" si="4"/>
        <v>26427.642509434</v>
      </c>
      <c r="O14" s="74"/>
    </row>
    <row r="15" s="29" customFormat="1" customHeight="1" spans="1:30">
      <c r="A15" s="21"/>
      <c r="B15" s="21"/>
      <c r="C15" s="22" t="s">
        <v>269</v>
      </c>
      <c r="D15" s="25">
        <f t="shared" si="5"/>
        <v>2.532</v>
      </c>
      <c r="E15" s="23">
        <v>3</v>
      </c>
      <c r="F15" s="24">
        <v>10</v>
      </c>
      <c r="G15" s="21" t="s">
        <v>106</v>
      </c>
      <c r="H15" s="25">
        <v>25.32</v>
      </c>
      <c r="I15" s="25">
        <f>E15*F15</f>
        <v>30</v>
      </c>
      <c r="J15" s="24"/>
      <c r="K15" s="23">
        <f t="shared" si="2"/>
        <v>4.68</v>
      </c>
      <c r="L15" s="25">
        <f t="shared" si="3"/>
        <v>-25.32</v>
      </c>
      <c r="M15" s="25"/>
      <c r="N15" s="25">
        <f t="shared" si="4"/>
        <v>26402.322509434</v>
      </c>
      <c r="O15" s="74"/>
    </row>
    <row r="16" s="29" customFormat="1" customHeight="1" spans="1:30">
      <c r="A16" s="21"/>
      <c r="B16" s="21"/>
      <c r="C16" s="22" t="s">
        <v>270</v>
      </c>
      <c r="D16" s="31">
        <f t="shared" si="5"/>
        <v>0.0507407407407407</v>
      </c>
      <c r="E16" s="23">
        <v>0.1</v>
      </c>
      <c r="F16" s="24">
        <v>243</v>
      </c>
      <c r="G16" s="21" t="s">
        <v>76</v>
      </c>
      <c r="H16" s="25">
        <v>12.33</v>
      </c>
      <c r="I16" s="25">
        <f>E16*F16</f>
        <v>24.3</v>
      </c>
      <c r="J16" s="24"/>
      <c r="K16" s="23">
        <f t="shared" si="2"/>
        <v>11.97</v>
      </c>
      <c r="L16" s="25">
        <f t="shared" si="3"/>
        <v>-12.33</v>
      </c>
      <c r="M16" s="25"/>
      <c r="N16" s="25">
        <f t="shared" si="4"/>
        <v>26389.992509434</v>
      </c>
      <c r="O16" s="74"/>
    </row>
    <row r="17" s="29" customFormat="1" customHeight="1" spans="1:15">
      <c r="A17" s="21"/>
      <c r="B17" s="21"/>
      <c r="C17" s="22" t="s">
        <v>271</v>
      </c>
      <c r="D17" s="31">
        <f t="shared" si="5"/>
        <v>0.330555555555556</v>
      </c>
      <c r="E17" s="23">
        <v>0.8</v>
      </c>
      <c r="F17" s="24">
        <v>36</v>
      </c>
      <c r="G17" s="21" t="s">
        <v>55</v>
      </c>
      <c r="H17" s="25">
        <v>11.9</v>
      </c>
      <c r="I17" s="25">
        <f>E17*F17</f>
        <v>28.8</v>
      </c>
      <c r="J17" s="24"/>
      <c r="K17" s="23">
        <f t="shared" si="2"/>
        <v>16.9</v>
      </c>
      <c r="L17" s="25">
        <f t="shared" si="3"/>
        <v>-11.9</v>
      </c>
      <c r="M17" s="25"/>
      <c r="N17" s="25">
        <f t="shared" si="4"/>
        <v>26378.092509434</v>
      </c>
      <c r="O17" s="80"/>
    </row>
    <row r="18" s="64" customFormat="1" customHeight="1" spans="1:15">
      <c r="A18" s="21"/>
      <c r="B18" s="21"/>
      <c r="C18" s="22" t="s">
        <v>272</v>
      </c>
      <c r="D18" s="31">
        <f t="shared" si="5"/>
        <v>4.50666666666667</v>
      </c>
      <c r="E18" s="23">
        <v>5.5</v>
      </c>
      <c r="F18" s="24">
        <v>30</v>
      </c>
      <c r="G18" s="21" t="s">
        <v>52</v>
      </c>
      <c r="H18" s="25">
        <v>135.2</v>
      </c>
      <c r="I18" s="25">
        <f>E18*F18</f>
        <v>165</v>
      </c>
      <c r="J18" s="24"/>
      <c r="K18" s="23">
        <f t="shared" si="2"/>
        <v>29.8</v>
      </c>
      <c r="L18" s="25">
        <f t="shared" si="3"/>
        <v>-135.2</v>
      </c>
      <c r="M18" s="25"/>
      <c r="N18" s="25">
        <f t="shared" si="4"/>
        <v>26242.892509434</v>
      </c>
      <c r="O18" s="74"/>
    </row>
    <row r="19" s="64" customFormat="1" customHeight="1" spans="1:15">
      <c r="A19" s="21"/>
      <c r="B19" s="21"/>
      <c r="C19" s="22" t="s">
        <v>273</v>
      </c>
      <c r="D19" s="31">
        <f t="shared" si="5"/>
        <v>5.66671428571429</v>
      </c>
      <c r="E19" s="23">
        <v>6.25714285714286</v>
      </c>
      <c r="F19" s="24">
        <v>70</v>
      </c>
      <c r="G19" s="21" t="s">
        <v>52</v>
      </c>
      <c r="H19" s="25">
        <v>396.67</v>
      </c>
      <c r="I19" s="25">
        <f>43.8*10</f>
        <v>438</v>
      </c>
      <c r="J19" s="24"/>
      <c r="K19" s="23">
        <f t="shared" si="2"/>
        <v>41.33</v>
      </c>
      <c r="L19" s="25">
        <f t="shared" si="3"/>
        <v>-396.67</v>
      </c>
      <c r="M19" s="25"/>
      <c r="N19" s="25">
        <f t="shared" si="4"/>
        <v>25846.222509434</v>
      </c>
      <c r="O19" s="74"/>
    </row>
    <row r="20" s="64" customFormat="1" customHeight="1" spans="1:15">
      <c r="A20" s="21"/>
      <c r="B20" s="21"/>
      <c r="C20" s="22" t="s">
        <v>274</v>
      </c>
      <c r="D20" s="31">
        <f t="shared" si="5"/>
        <v>0.557166666666667</v>
      </c>
      <c r="E20" s="23">
        <v>0.8</v>
      </c>
      <c r="F20" s="24">
        <v>60</v>
      </c>
      <c r="G20" s="21" t="s">
        <v>58</v>
      </c>
      <c r="H20" s="25">
        <v>33.43</v>
      </c>
      <c r="I20" s="25">
        <f t="shared" ref="I20:I36" si="6">E20*F20</f>
        <v>48</v>
      </c>
      <c r="J20" s="24"/>
      <c r="K20" s="23">
        <f t="shared" si="2"/>
        <v>14.57</v>
      </c>
      <c r="L20" s="25">
        <f t="shared" si="3"/>
        <v>-33.43</v>
      </c>
      <c r="M20" s="25"/>
      <c r="N20" s="25">
        <f t="shared" si="4"/>
        <v>25812.792509434</v>
      </c>
      <c r="O20" s="74"/>
    </row>
    <row r="21" s="64" customFormat="1" customHeight="1" spans="1:15">
      <c r="A21" s="21"/>
      <c r="B21" s="21"/>
      <c r="C21" s="22" t="s">
        <v>275</v>
      </c>
      <c r="D21" s="31">
        <f t="shared" si="5"/>
        <v>18.177</v>
      </c>
      <c r="E21" s="23">
        <v>22</v>
      </c>
      <c r="F21" s="24">
        <v>10</v>
      </c>
      <c r="G21" s="21" t="s">
        <v>55</v>
      </c>
      <c r="H21" s="25">
        <v>181.77</v>
      </c>
      <c r="I21" s="25">
        <f t="shared" si="6"/>
        <v>220</v>
      </c>
      <c r="J21" s="24"/>
      <c r="K21" s="23">
        <f t="shared" si="2"/>
        <v>38.23</v>
      </c>
      <c r="L21" s="25">
        <f t="shared" si="3"/>
        <v>-181.77</v>
      </c>
      <c r="M21" s="25"/>
      <c r="N21" s="25">
        <f t="shared" si="4"/>
        <v>25631.022509434</v>
      </c>
      <c r="O21" s="74"/>
    </row>
    <row r="22" customHeight="1" spans="1:15">
      <c r="A22" s="81"/>
      <c r="B22" s="81"/>
      <c r="C22" s="22" t="s">
        <v>276</v>
      </c>
      <c r="D22" s="82">
        <f t="shared" si="5"/>
        <v>44.4</v>
      </c>
      <c r="E22" s="23">
        <v>52</v>
      </c>
      <c r="F22" s="83">
        <v>5</v>
      </c>
      <c r="G22" s="81" t="s">
        <v>88</v>
      </c>
      <c r="H22" s="27">
        <v>222</v>
      </c>
      <c r="I22" s="27">
        <f t="shared" si="6"/>
        <v>260</v>
      </c>
      <c r="J22" s="83"/>
      <c r="K22" s="23">
        <f t="shared" si="2"/>
        <v>38</v>
      </c>
      <c r="L22" s="25">
        <f t="shared" si="3"/>
        <v>-222</v>
      </c>
      <c r="M22" s="27"/>
      <c r="N22" s="25">
        <f t="shared" si="4"/>
        <v>25409.022509434</v>
      </c>
      <c r="O22" s="84"/>
    </row>
    <row r="23" s="64" customFormat="1" customHeight="1" spans="1:15">
      <c r="A23" s="21"/>
      <c r="B23" s="21"/>
      <c r="C23" s="22" t="s">
        <v>277</v>
      </c>
      <c r="D23" s="31">
        <f t="shared" si="5"/>
        <v>25.306</v>
      </c>
      <c r="E23" s="23">
        <v>30</v>
      </c>
      <c r="F23" s="24">
        <v>5</v>
      </c>
      <c r="G23" s="21" t="s">
        <v>88</v>
      </c>
      <c r="H23" s="25">
        <v>126.53</v>
      </c>
      <c r="I23" s="25">
        <f t="shared" si="6"/>
        <v>150</v>
      </c>
      <c r="J23" s="24"/>
      <c r="K23" s="23">
        <f t="shared" si="2"/>
        <v>23.47</v>
      </c>
      <c r="L23" s="25">
        <f t="shared" si="3"/>
        <v>-126.53</v>
      </c>
      <c r="M23" s="25"/>
      <c r="N23" s="25">
        <f t="shared" si="4"/>
        <v>25282.492509434</v>
      </c>
      <c r="O23" s="74"/>
    </row>
    <row r="24" s="64" customFormat="1" customHeight="1" spans="1:15">
      <c r="A24" s="21"/>
      <c r="B24" s="21"/>
      <c r="C24" s="22" t="s">
        <v>278</v>
      </c>
      <c r="D24" s="31">
        <f t="shared" si="5"/>
        <v>63.028</v>
      </c>
      <c r="E24" s="23">
        <v>71</v>
      </c>
      <c r="F24" s="24">
        <v>10</v>
      </c>
      <c r="G24" s="21" t="s">
        <v>55</v>
      </c>
      <c r="H24" s="25">
        <f>63.5+566.78</f>
        <v>630.28</v>
      </c>
      <c r="I24" s="25">
        <f t="shared" si="6"/>
        <v>710</v>
      </c>
      <c r="J24" s="24"/>
      <c r="K24" s="23">
        <f t="shared" si="2"/>
        <v>79.72</v>
      </c>
      <c r="L24" s="25">
        <f t="shared" si="3"/>
        <v>-630.28</v>
      </c>
      <c r="M24" s="25"/>
      <c r="N24" s="25">
        <f t="shared" si="4"/>
        <v>24652.212509434</v>
      </c>
      <c r="O24" s="74"/>
    </row>
    <row r="25" customHeight="1" spans="1:15">
      <c r="A25" s="81"/>
      <c r="B25" s="81"/>
      <c r="C25" s="85" t="s">
        <v>279</v>
      </c>
      <c r="D25" s="31">
        <f t="shared" si="5"/>
        <v>71.884</v>
      </c>
      <c r="E25" s="23">
        <v>80</v>
      </c>
      <c r="F25" s="83">
        <v>5</v>
      </c>
      <c r="G25" s="81" t="s">
        <v>55</v>
      </c>
      <c r="H25" s="27">
        <v>359.42</v>
      </c>
      <c r="I25" s="27">
        <f t="shared" si="6"/>
        <v>400</v>
      </c>
      <c r="J25" s="83"/>
      <c r="K25" s="23">
        <f t="shared" si="2"/>
        <v>40.58</v>
      </c>
      <c r="L25" s="25">
        <f t="shared" si="3"/>
        <v>-359.42</v>
      </c>
      <c r="M25" s="27"/>
      <c r="N25" s="25">
        <f t="shared" si="4"/>
        <v>24292.792509434</v>
      </c>
      <c r="O25" s="84"/>
    </row>
    <row r="26" customHeight="1" spans="1:15">
      <c r="A26" s="81"/>
      <c r="B26" s="81"/>
      <c r="C26" s="22" t="s">
        <v>280</v>
      </c>
      <c r="D26" s="31">
        <f t="shared" si="5"/>
        <v>1.17583333333333</v>
      </c>
      <c r="E26" s="23">
        <v>1.5</v>
      </c>
      <c r="F26" s="24">
        <v>60</v>
      </c>
      <c r="G26" s="21" t="s">
        <v>58</v>
      </c>
      <c r="H26" s="25">
        <v>70.55</v>
      </c>
      <c r="I26" s="25">
        <f t="shared" si="6"/>
        <v>90</v>
      </c>
      <c r="J26" s="83"/>
      <c r="K26" s="23">
        <f t="shared" si="2"/>
        <v>19.45</v>
      </c>
      <c r="L26" s="25">
        <f t="shared" si="3"/>
        <v>-70.55</v>
      </c>
      <c r="M26" s="27"/>
      <c r="N26" s="25">
        <f t="shared" si="4"/>
        <v>24222.242509434</v>
      </c>
      <c r="O26" s="84"/>
    </row>
    <row r="27" customHeight="1" spans="1:15">
      <c r="A27" s="81"/>
      <c r="B27" s="81"/>
      <c r="C27" s="85" t="s">
        <v>281</v>
      </c>
      <c r="D27" s="82">
        <f t="shared" ref="D27:D39" si="7">H27/F27</f>
        <v>1.08616666666667</v>
      </c>
      <c r="E27" s="23">
        <v>1.5</v>
      </c>
      <c r="F27" s="83">
        <v>60</v>
      </c>
      <c r="G27" s="81" t="s">
        <v>58</v>
      </c>
      <c r="H27" s="27">
        <v>65.17</v>
      </c>
      <c r="I27" s="27">
        <f t="shared" si="6"/>
        <v>90</v>
      </c>
      <c r="J27" s="83"/>
      <c r="K27" s="23">
        <f t="shared" si="2"/>
        <v>24.83</v>
      </c>
      <c r="L27" s="25">
        <f t="shared" si="3"/>
        <v>-65.17</v>
      </c>
      <c r="M27" s="27"/>
      <c r="N27" s="25">
        <f t="shared" si="4"/>
        <v>24157.072509434</v>
      </c>
      <c r="O27" s="84"/>
    </row>
    <row r="28" customHeight="1" spans="1:15">
      <c r="A28" s="81"/>
      <c r="B28" s="81"/>
      <c r="C28" s="85" t="s">
        <v>282</v>
      </c>
      <c r="D28" s="82">
        <f t="shared" si="7"/>
        <v>4.52816666666667</v>
      </c>
      <c r="E28" s="23">
        <v>5</v>
      </c>
      <c r="F28" s="83">
        <v>60</v>
      </c>
      <c r="G28" s="81" t="s">
        <v>58</v>
      </c>
      <c r="H28" s="27">
        <v>271.69</v>
      </c>
      <c r="I28" s="27">
        <f t="shared" si="6"/>
        <v>300</v>
      </c>
      <c r="J28" s="83"/>
      <c r="K28" s="23">
        <f t="shared" si="2"/>
        <v>28.31</v>
      </c>
      <c r="L28" s="25">
        <f t="shared" si="3"/>
        <v>-271.69</v>
      </c>
      <c r="M28" s="27"/>
      <c r="N28" s="25">
        <f t="shared" si="4"/>
        <v>23885.382509434</v>
      </c>
      <c r="O28" s="84"/>
    </row>
    <row r="29" customHeight="1" spans="1:15">
      <c r="A29" s="81"/>
      <c r="B29" s="81"/>
      <c r="C29" s="85" t="s">
        <v>283</v>
      </c>
      <c r="D29" s="82">
        <f t="shared" si="7"/>
        <v>5.555</v>
      </c>
      <c r="E29" s="23">
        <v>6</v>
      </c>
      <c r="F29" s="83">
        <v>60</v>
      </c>
      <c r="G29" s="81" t="s">
        <v>58</v>
      </c>
      <c r="H29" s="27">
        <v>333.3</v>
      </c>
      <c r="I29" s="27">
        <f t="shared" si="6"/>
        <v>360</v>
      </c>
      <c r="J29" s="83"/>
      <c r="K29" s="23">
        <f t="shared" si="2"/>
        <v>26.7</v>
      </c>
      <c r="L29" s="25">
        <f t="shared" si="3"/>
        <v>-333.3</v>
      </c>
      <c r="M29" s="27"/>
      <c r="N29" s="25">
        <f t="shared" si="4"/>
        <v>23552.082509434</v>
      </c>
      <c r="O29" s="84"/>
    </row>
    <row r="30" customHeight="1" spans="1:15">
      <c r="A30" s="81"/>
      <c r="B30" s="81"/>
      <c r="C30" s="85" t="s">
        <v>284</v>
      </c>
      <c r="D30" s="82">
        <f t="shared" si="7"/>
        <v>4.32283333333333</v>
      </c>
      <c r="E30" s="23">
        <v>5</v>
      </c>
      <c r="F30" s="83">
        <v>60</v>
      </c>
      <c r="G30" s="81" t="s">
        <v>58</v>
      </c>
      <c r="H30" s="27">
        <v>259.37</v>
      </c>
      <c r="I30" s="27">
        <f t="shared" si="6"/>
        <v>300</v>
      </c>
      <c r="J30" s="83"/>
      <c r="K30" s="23">
        <f t="shared" si="2"/>
        <v>40.63</v>
      </c>
      <c r="L30" s="25">
        <f t="shared" si="3"/>
        <v>-259.37</v>
      </c>
      <c r="M30" s="27"/>
      <c r="N30" s="25">
        <f t="shared" si="4"/>
        <v>23292.712509434</v>
      </c>
      <c r="O30" s="84"/>
    </row>
    <row r="31" customHeight="1" spans="1:15">
      <c r="A31" s="81"/>
      <c r="B31" s="81"/>
      <c r="C31" s="85" t="s">
        <v>285</v>
      </c>
      <c r="D31" s="82">
        <f t="shared" si="7"/>
        <v>12.6420833333333</v>
      </c>
      <c r="E31" s="23">
        <v>15</v>
      </c>
      <c r="F31" s="83">
        <v>24</v>
      </c>
      <c r="G31" s="81" t="s">
        <v>52</v>
      </c>
      <c r="H31" s="27">
        <v>303.41</v>
      </c>
      <c r="I31" s="27">
        <f t="shared" si="6"/>
        <v>360</v>
      </c>
      <c r="J31" s="83"/>
      <c r="K31" s="23">
        <f t="shared" si="2"/>
        <v>56.59</v>
      </c>
      <c r="L31" s="25">
        <f t="shared" si="3"/>
        <v>-303.41</v>
      </c>
      <c r="M31" s="27"/>
      <c r="N31" s="25">
        <f t="shared" si="4"/>
        <v>22989.302509434</v>
      </c>
      <c r="O31" s="84"/>
    </row>
    <row r="32" customHeight="1" spans="1:15">
      <c r="A32" s="81"/>
      <c r="B32" s="81"/>
      <c r="C32" s="85" t="s">
        <v>286</v>
      </c>
      <c r="D32" s="82">
        <f t="shared" si="7"/>
        <v>1.597</v>
      </c>
      <c r="E32" s="23">
        <v>2.5</v>
      </c>
      <c r="F32" s="83">
        <v>20</v>
      </c>
      <c r="G32" s="81" t="s">
        <v>55</v>
      </c>
      <c r="H32" s="27">
        <v>31.94</v>
      </c>
      <c r="I32" s="27">
        <f t="shared" si="6"/>
        <v>50</v>
      </c>
      <c r="J32" s="83"/>
      <c r="K32" s="23">
        <f t="shared" si="2"/>
        <v>18.06</v>
      </c>
      <c r="L32" s="25">
        <f t="shared" si="3"/>
        <v>-31.94</v>
      </c>
      <c r="M32" s="27"/>
      <c r="N32" s="25">
        <f t="shared" si="4"/>
        <v>22957.362509434</v>
      </c>
      <c r="O32" s="84"/>
    </row>
    <row r="33" customHeight="1" spans="1:15">
      <c r="A33" s="81"/>
      <c r="B33" s="81"/>
      <c r="C33" s="85" t="s">
        <v>287</v>
      </c>
      <c r="D33" s="82">
        <f t="shared" si="7"/>
        <v>0.13325</v>
      </c>
      <c r="E33" s="23">
        <v>0.2</v>
      </c>
      <c r="F33" s="83">
        <v>200</v>
      </c>
      <c r="G33" s="81" t="s">
        <v>288</v>
      </c>
      <c r="H33" s="27">
        <v>26.65</v>
      </c>
      <c r="I33" s="27">
        <f t="shared" si="6"/>
        <v>40</v>
      </c>
      <c r="J33" s="83"/>
      <c r="K33" s="23">
        <f t="shared" si="2"/>
        <v>13.35</v>
      </c>
      <c r="L33" s="25">
        <f t="shared" si="3"/>
        <v>-26.65</v>
      </c>
      <c r="M33" s="27"/>
      <c r="N33" s="25">
        <f t="shared" si="4"/>
        <v>22930.712509434</v>
      </c>
      <c r="O33" s="84"/>
    </row>
    <row r="34" customHeight="1" spans="1:15">
      <c r="A34" s="81"/>
      <c r="B34" s="81"/>
      <c r="C34" s="85" t="s">
        <v>289</v>
      </c>
      <c r="D34" s="82">
        <f t="shared" si="7"/>
        <v>3.43333333333333</v>
      </c>
      <c r="E34" s="23">
        <v>4</v>
      </c>
      <c r="F34" s="83">
        <v>30</v>
      </c>
      <c r="G34" s="81" t="s">
        <v>52</v>
      </c>
      <c r="H34" s="27">
        <v>103</v>
      </c>
      <c r="I34" s="27">
        <f t="shared" si="6"/>
        <v>120</v>
      </c>
      <c r="J34" s="83"/>
      <c r="K34" s="23">
        <f t="shared" si="2"/>
        <v>17</v>
      </c>
      <c r="L34" s="25">
        <f t="shared" si="3"/>
        <v>-103</v>
      </c>
      <c r="M34" s="27"/>
      <c r="N34" s="25">
        <f t="shared" si="4"/>
        <v>22827.712509434</v>
      </c>
      <c r="O34" s="84"/>
    </row>
    <row r="35" customHeight="1" spans="1:15">
      <c r="A35" s="81"/>
      <c r="B35" s="81"/>
      <c r="C35" s="85" t="s">
        <v>290</v>
      </c>
      <c r="D35" s="82">
        <f t="shared" si="7"/>
        <v>4.132</v>
      </c>
      <c r="E35" s="23">
        <v>5</v>
      </c>
      <c r="F35" s="83">
        <v>20</v>
      </c>
      <c r="G35" s="81" t="s">
        <v>52</v>
      </c>
      <c r="H35" s="27">
        <v>82.64</v>
      </c>
      <c r="I35" s="27">
        <f t="shared" si="6"/>
        <v>100</v>
      </c>
      <c r="J35" s="83"/>
      <c r="K35" s="23">
        <f t="shared" si="2"/>
        <v>17.36</v>
      </c>
      <c r="L35" s="25">
        <f t="shared" si="3"/>
        <v>-82.64</v>
      </c>
      <c r="M35" s="27"/>
      <c r="N35" s="25">
        <f t="shared" si="4"/>
        <v>22745.072509434</v>
      </c>
      <c r="O35" s="84"/>
    </row>
    <row r="36" customHeight="1" spans="1:15">
      <c r="A36" s="81"/>
      <c r="B36" s="81"/>
      <c r="C36" s="85" t="s">
        <v>291</v>
      </c>
      <c r="D36" s="82">
        <f t="shared" si="7"/>
        <v>27.123</v>
      </c>
      <c r="E36" s="23">
        <v>30</v>
      </c>
      <c r="F36" s="83">
        <v>10</v>
      </c>
      <c r="G36" s="81" t="s">
        <v>88</v>
      </c>
      <c r="H36" s="27">
        <v>271.23</v>
      </c>
      <c r="I36" s="27">
        <f t="shared" si="6"/>
        <v>300</v>
      </c>
      <c r="J36" s="83"/>
      <c r="K36" s="23">
        <f t="shared" si="2"/>
        <v>28.77</v>
      </c>
      <c r="L36" s="25">
        <f t="shared" si="3"/>
        <v>-271.23</v>
      </c>
      <c r="M36" s="27"/>
      <c r="N36" s="25">
        <f t="shared" si="4"/>
        <v>22473.842509434</v>
      </c>
      <c r="O36" s="84"/>
    </row>
    <row r="37" customHeight="1" spans="1:15">
      <c r="A37" s="81"/>
      <c r="B37" s="81"/>
      <c r="C37" s="85" t="s">
        <v>292</v>
      </c>
      <c r="D37" s="82">
        <f t="shared" si="7"/>
        <v>3.40666666666667</v>
      </c>
      <c r="E37" s="23">
        <v>4</v>
      </c>
      <c r="F37" s="83">
        <v>30</v>
      </c>
      <c r="G37" s="81" t="s">
        <v>55</v>
      </c>
      <c r="H37" s="27">
        <v>102.2</v>
      </c>
      <c r="I37" s="27">
        <f>12*10</f>
        <v>120</v>
      </c>
      <c r="J37" s="83"/>
      <c r="K37" s="23">
        <f t="shared" si="2"/>
        <v>17.8</v>
      </c>
      <c r="L37" s="25">
        <f t="shared" si="3"/>
        <v>-102.2</v>
      </c>
      <c r="M37" s="27"/>
      <c r="N37" s="25">
        <f t="shared" si="4"/>
        <v>22371.642509434</v>
      </c>
      <c r="O37" s="84"/>
    </row>
    <row r="38" customHeight="1" spans="1:15">
      <c r="A38" s="81"/>
      <c r="B38" s="81"/>
      <c r="C38" s="85" t="s">
        <v>293</v>
      </c>
      <c r="D38" s="82">
        <f t="shared" si="7"/>
        <v>3.66933333333333</v>
      </c>
      <c r="E38" s="23">
        <v>4.5</v>
      </c>
      <c r="F38" s="83">
        <v>30</v>
      </c>
      <c r="G38" s="81" t="s">
        <v>52</v>
      </c>
      <c r="H38" s="27">
        <f>92.22+17.86</f>
        <v>110.08</v>
      </c>
      <c r="I38" s="27">
        <f>E38*F38</f>
        <v>135</v>
      </c>
      <c r="J38" s="83"/>
      <c r="K38" s="23">
        <f t="shared" si="2"/>
        <v>24.92</v>
      </c>
      <c r="L38" s="25">
        <f t="shared" si="3"/>
        <v>-110.08</v>
      </c>
      <c r="M38" s="27"/>
      <c r="N38" s="25">
        <f t="shared" si="4"/>
        <v>22261.562509434</v>
      </c>
      <c r="O38" s="84"/>
    </row>
    <row r="39" customHeight="1" spans="1:15">
      <c r="A39" s="81"/>
      <c r="B39" s="81"/>
      <c r="C39" s="85" t="s">
        <v>294</v>
      </c>
      <c r="D39" s="82">
        <f t="shared" si="7"/>
        <v>0.3214453125</v>
      </c>
      <c r="E39" s="23">
        <v>0.5</v>
      </c>
      <c r="F39" s="83">
        <v>256</v>
      </c>
      <c r="G39" s="81" t="s">
        <v>106</v>
      </c>
      <c r="H39" s="27">
        <f>18.74+63.55</f>
        <v>82.29</v>
      </c>
      <c r="I39" s="27">
        <f>E39*F39</f>
        <v>128</v>
      </c>
      <c r="J39" s="83"/>
      <c r="K39" s="23">
        <f t="shared" si="2"/>
        <v>45.71</v>
      </c>
      <c r="L39" s="25">
        <f t="shared" si="3"/>
        <v>-82.29</v>
      </c>
      <c r="M39" s="27"/>
      <c r="N39" s="25">
        <f t="shared" si="4"/>
        <v>22179.272509434</v>
      </c>
      <c r="O39" s="84"/>
    </row>
    <row r="40" customHeight="1" spans="1:15">
      <c r="H40" s="7">
        <f>SUM(H3:H39)</f>
        <v>5130.75</v>
      </c>
      <c r="I40" s="7">
        <f>SUM(I3:I39)</f>
        <v>6165.3</v>
      </c>
    </row>
    <row r="41" customHeight="1" spans="1:15">
      <c r="J41" s="6" t="s">
        <v>71</v>
      </c>
      <c r="K41" s="5">
        <f>SUM(K3:K39)</f>
        <v>1034.55</v>
      </c>
    </row>
    <row r="42" customHeight="1" spans="1:15">
      <c r="J42" s="6" t="s">
        <v>72</v>
      </c>
      <c r="K42" s="5">
        <f>K41/2</f>
        <v>517.275</v>
      </c>
      <c r="L42" s="7">
        <f>-K42</f>
        <v>-517.275</v>
      </c>
      <c r="N42" s="7">
        <f>N39+L42</f>
        <v>21661.997509434</v>
      </c>
    </row>
  </sheetData>
  <autoFilter xmlns:etc="http://www.wps.cn/officeDocument/2017/etCustomData" ref="B2:C39" etc:filterBottomFollowUsedRange="0">
    <extLst/>
  </autoFilter>
  <mergeCells count="1">
    <mergeCell ref="A1:J1"/>
  </mergeCells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5"/>
  <sheetViews>
    <sheetView workbookViewId="0">
      <selection activeCell="A12" sqref="A12:E15"/>
    </sheetView>
  </sheetViews>
  <sheetFormatPr defaultColWidth="9" defaultRowHeight="14.25" outlineLevelCol="7"/>
  <cols>
    <col min="1" max="3" width="18.75" style="49" customWidth="1"/>
    <col min="4" max="7" width="19.125" style="49" customWidth="1"/>
    <col min="8" max="13" width="10.625" style="49" customWidth="1"/>
    <col min="14" max="16384" width="9" style="49"/>
  </cols>
  <sheetData>
    <row r="1" s="48" customFormat="1" ht="28" customHeight="1" spans="1:8">
      <c r="A1" s="50" t="s">
        <v>295</v>
      </c>
      <c r="B1" s="51" t="s">
        <v>296</v>
      </c>
      <c r="C1" s="51" t="s">
        <v>297</v>
      </c>
      <c r="D1" s="51" t="s">
        <v>298</v>
      </c>
      <c r="E1" s="51" t="s">
        <v>299</v>
      </c>
    </row>
    <row r="2" s="48" customFormat="1" ht="28" customHeight="1" spans="1:8">
      <c r="A2" s="51" t="s">
        <v>300</v>
      </c>
      <c r="B2" s="51">
        <v>24966.5</v>
      </c>
      <c r="C2" s="51">
        <v>8057</v>
      </c>
      <c r="D2" s="51">
        <v>28539.5</v>
      </c>
      <c r="E2" s="52">
        <f>SUM(B2:D2)</f>
        <v>61563</v>
      </c>
    </row>
    <row r="3" s="48" customFormat="1" ht="28" customHeight="1" spans="1:8">
      <c r="A3" s="51" t="s">
        <v>301</v>
      </c>
      <c r="B3" s="51">
        <v>9066</v>
      </c>
      <c r="C3" s="51">
        <v>9349.7</v>
      </c>
      <c r="D3" s="51"/>
      <c r="E3" s="53">
        <f>SUM(B3:D3)</f>
        <v>18415.7</v>
      </c>
    </row>
    <row r="4" s="48" customFormat="1" ht="28" customHeight="1" spans="1:8">
      <c r="A4" s="51"/>
      <c r="B4" s="51"/>
      <c r="C4" s="51"/>
      <c r="D4" s="54" t="s">
        <v>302</v>
      </c>
      <c r="E4" s="55">
        <f>E2+E3</f>
        <v>79978.7</v>
      </c>
      <c r="F4" s="56">
        <v>-42689.977490566</v>
      </c>
      <c r="G4" s="57">
        <f>E4+F4</f>
        <v>37288.722509434</v>
      </c>
    </row>
    <row r="5" ht="28" customHeight="1" spans="1:8">
      <c r="C5" s="58"/>
      <c r="D5" s="58"/>
      <c r="E5" s="59" t="s">
        <v>303</v>
      </c>
      <c r="F5" s="59" t="s">
        <v>304</v>
      </c>
      <c r="G5" s="59" t="s">
        <v>305</v>
      </c>
      <c r="H5" s="58"/>
    </row>
    <row r="6" ht="28" customHeight="1" spans="1:8">
      <c r="C6" s="58"/>
      <c r="D6" s="58"/>
      <c r="E6" s="58"/>
      <c r="F6" s="58"/>
      <c r="G6" s="58"/>
      <c r="H6" s="58"/>
    </row>
    <row r="7" ht="28" customHeight="1" spans="1:8">
      <c r="C7" s="58"/>
      <c r="D7" s="58"/>
      <c r="E7" s="58"/>
      <c r="F7" s="58"/>
      <c r="G7" s="58"/>
      <c r="H7" s="58"/>
    </row>
    <row r="8" ht="28" customHeight="1" spans="1:8">
      <c r="C8" s="60" t="s">
        <v>306</v>
      </c>
      <c r="D8" s="59" t="s">
        <v>307</v>
      </c>
      <c r="E8" s="59" t="s">
        <v>308</v>
      </c>
      <c r="F8" s="59" t="s">
        <v>309</v>
      </c>
      <c r="G8" s="59" t="s">
        <v>310</v>
      </c>
      <c r="H8" s="61" t="s">
        <v>311</v>
      </c>
    </row>
    <row r="9" ht="28" customHeight="1" spans="1:8">
      <c r="C9" s="62"/>
      <c r="D9" s="63">
        <v>60000</v>
      </c>
      <c r="E9" s="63">
        <v>-31221.612490566</v>
      </c>
      <c r="F9" s="63">
        <v>8443.535</v>
      </c>
      <c r="G9" s="63">
        <v>66.8</v>
      </c>
      <c r="H9" s="57">
        <f>SUM(D9:G9)</f>
        <v>37288.722509434</v>
      </c>
    </row>
    <row r="10" ht="28" customHeight="1"/>
    <row r="11" ht="28" customHeight="1"/>
    <row r="12" ht="28" customHeight="1" spans="1:8">
      <c r="A12" s="50" t="s">
        <v>312</v>
      </c>
      <c r="B12" s="51" t="s">
        <v>296</v>
      </c>
      <c r="C12" s="51" t="s">
        <v>297</v>
      </c>
      <c r="D12" s="51" t="s">
        <v>298</v>
      </c>
      <c r="E12" s="51" t="s">
        <v>299</v>
      </c>
    </row>
    <row r="13" ht="28" customHeight="1" spans="1:8">
      <c r="A13" s="51" t="s">
        <v>300</v>
      </c>
      <c r="B13" s="51">
        <v>2657.685</v>
      </c>
      <c r="C13" s="51">
        <v>1003.33</v>
      </c>
      <c r="D13" s="51">
        <v>3002.595</v>
      </c>
      <c r="E13" s="51">
        <f>SUM(B13:D13)</f>
        <v>6663.61</v>
      </c>
    </row>
    <row r="14" ht="28" customHeight="1" spans="1:8">
      <c r="A14" s="51" t="s">
        <v>301</v>
      </c>
      <c r="B14" s="51">
        <v>764.2</v>
      </c>
      <c r="C14" s="51">
        <v>1015.725</v>
      </c>
      <c r="D14" s="51"/>
      <c r="E14" s="51">
        <f>B14+C14</f>
        <v>1779.925</v>
      </c>
    </row>
    <row r="15" ht="28" customHeight="1" spans="1:8">
      <c r="A15" s="48"/>
      <c r="B15" s="48"/>
      <c r="C15" s="48"/>
      <c r="D15" s="48" t="s">
        <v>313</v>
      </c>
      <c r="E15" s="48">
        <f>E13+E14</f>
        <v>8443.535</v>
      </c>
    </row>
  </sheetData>
  <mergeCells count="1">
    <mergeCell ref="C8:C9"/>
  </mergeCells>
  <pageMargins left="0.75" right="0.75" top="1" bottom="1" header="0.5" footer="0.5"/>
  <pageSetup paperSize="256" orientation="portrait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47"/>
  <sheetViews>
    <sheetView tabSelected="1" workbookViewId="0">
      <pane xSplit="2" ySplit="2" topLeftCell="C3" activePane="bottomRight" state="frozen"/>
      <selection/>
      <selection pane="topRight"/>
      <selection pane="bottomLeft"/>
      <selection pane="bottomRight" activeCell="C8" sqref="C8"/>
    </sheetView>
  </sheetViews>
  <sheetFormatPr defaultColWidth="9.06666666666667" defaultRowHeight="54" customHeight="1"/>
  <cols>
    <col min="1" max="1" width="11.875" style="3" customWidth="1"/>
    <col min="2" max="2" width="34.5" style="4" customWidth="1"/>
    <col min="3" max="3" width="11.875" style="5" customWidth="1"/>
    <col min="4" max="4" width="10.5" style="3" customWidth="1"/>
    <col min="5" max="5" width="6.375" style="6" customWidth="1"/>
    <col min="6" max="6" width="6.375" style="3" customWidth="1"/>
    <col min="7" max="7" width="12.1333333333333" style="7" customWidth="1"/>
    <col min="8" max="8" width="10.5" style="7" customWidth="1"/>
    <col min="9" max="9" width="20.5" style="6" customWidth="1"/>
    <col min="10" max="10" width="10.375" style="7" customWidth="1"/>
    <col min="11" max="11" width="9.875" style="7" customWidth="1"/>
    <col min="12" max="12" width="10.375" style="8" customWidth="1"/>
    <col min="13" max="13" width="11.9333333333333" style="7" customWidth="1"/>
    <col min="14" max="14" width="22.5" style="9" customWidth="1"/>
    <col min="15" max="20" width="9.06666666666667" style="3" customWidth="1"/>
    <col min="21" max="16384" width="9.06666666666667" style="3"/>
  </cols>
  <sheetData>
    <row r="1" customHeight="1" spans="1:16">
      <c r="A1" s="10" t="s">
        <v>205</v>
      </c>
      <c r="B1" s="11"/>
      <c r="C1" s="12"/>
      <c r="D1" s="10"/>
      <c r="E1" s="10"/>
      <c r="F1" s="10"/>
      <c r="G1" s="13"/>
      <c r="H1" s="13"/>
      <c r="I1" s="10"/>
    </row>
    <row r="2" s="1" customFormat="1" ht="35.65" customHeight="1" spans="1:16">
      <c r="A2" s="14" t="s">
        <v>2</v>
      </c>
      <c r="B2" s="15" t="s">
        <v>3</v>
      </c>
      <c r="C2" s="16" t="s">
        <v>4</v>
      </c>
      <c r="D2" s="17" t="s">
        <v>5</v>
      </c>
      <c r="E2" s="17" t="s">
        <v>6</v>
      </c>
      <c r="F2" s="14" t="s">
        <v>7</v>
      </c>
      <c r="G2" s="18" t="s">
        <v>8</v>
      </c>
      <c r="H2" s="18" t="s">
        <v>9</v>
      </c>
      <c r="I2" s="17" t="s">
        <v>10</v>
      </c>
      <c r="J2" s="18" t="s">
        <v>11</v>
      </c>
      <c r="K2" s="18" t="s">
        <v>12</v>
      </c>
      <c r="L2" s="19" t="s">
        <v>13</v>
      </c>
      <c r="M2" s="18" t="s">
        <v>14</v>
      </c>
      <c r="N2" s="20" t="s">
        <v>15</v>
      </c>
    </row>
    <row r="3" s="2" customFormat="1" customHeight="1" spans="1:16">
      <c r="A3" s="21"/>
      <c r="B3" s="22" t="s">
        <v>314</v>
      </c>
      <c r="C3" s="23"/>
      <c r="D3" s="21"/>
      <c r="E3" s="24">
        <v>2</v>
      </c>
      <c r="F3" s="21" t="s">
        <v>19</v>
      </c>
      <c r="G3" s="25"/>
      <c r="H3" s="25"/>
      <c r="I3" s="24"/>
      <c r="J3" s="25"/>
      <c r="K3" s="25"/>
      <c r="L3" s="26"/>
      <c r="M3" s="27"/>
      <c r="N3" s="28"/>
      <c r="O3" s="29"/>
      <c r="P3" s="29"/>
    </row>
    <row r="4" s="2" customFormat="1" customHeight="1" spans="1:16">
      <c r="A4" s="21"/>
      <c r="B4" s="22" t="s">
        <v>315</v>
      </c>
      <c r="C4" s="23"/>
      <c r="D4" s="21"/>
      <c r="E4" s="24">
        <v>2</v>
      </c>
      <c r="F4" s="21" t="s">
        <v>19</v>
      </c>
      <c r="G4" s="25"/>
      <c r="H4" s="25"/>
      <c r="I4" s="24"/>
      <c r="J4" s="25"/>
      <c r="K4" s="25"/>
      <c r="L4" s="26"/>
      <c r="M4" s="27"/>
      <c r="N4" s="28"/>
      <c r="O4" s="29"/>
      <c r="P4" s="29"/>
    </row>
    <row r="5" s="2" customFormat="1" customHeight="1" spans="1:16">
      <c r="A5" s="21"/>
      <c r="B5" s="22" t="s">
        <v>316</v>
      </c>
      <c r="C5" s="23"/>
      <c r="D5" s="21"/>
      <c r="E5" s="24">
        <v>1</v>
      </c>
      <c r="F5" s="21" t="s">
        <v>19</v>
      </c>
      <c r="G5" s="25"/>
      <c r="H5" s="25"/>
      <c r="I5" s="24"/>
      <c r="J5" s="25"/>
      <c r="K5" s="25"/>
      <c r="L5" s="26"/>
      <c r="M5" s="25"/>
      <c r="N5" s="28" t="s">
        <v>317</v>
      </c>
      <c r="O5" s="29"/>
      <c r="P5" s="29"/>
    </row>
    <row r="6" s="2" customFormat="1" customHeight="1" spans="1:16">
      <c r="A6" s="30"/>
      <c r="B6" s="22" t="s">
        <v>318</v>
      </c>
      <c r="C6" s="23">
        <f>G6/E6/80</f>
        <v>5.678</v>
      </c>
      <c r="D6" s="23"/>
      <c r="E6" s="24">
        <v>2</v>
      </c>
      <c r="F6" s="21" t="s">
        <v>19</v>
      </c>
      <c r="G6" s="25">
        <v>908.48</v>
      </c>
      <c r="H6" s="25"/>
      <c r="I6" s="24" t="s">
        <v>187</v>
      </c>
      <c r="J6" s="25"/>
      <c r="K6" s="25"/>
      <c r="L6" s="26"/>
      <c r="M6" s="25"/>
      <c r="N6" s="28"/>
      <c r="O6" s="29"/>
      <c r="P6" s="29"/>
    </row>
    <row r="7" s="2" customFormat="1" customHeight="1" spans="1:16">
      <c r="A7" s="30"/>
      <c r="B7" s="22" t="s">
        <v>319</v>
      </c>
      <c r="C7" s="23">
        <f>G7/E7/80</f>
        <v>5.67825</v>
      </c>
      <c r="D7" s="23"/>
      <c r="E7" s="24">
        <v>1</v>
      </c>
      <c r="F7" s="21" t="s">
        <v>19</v>
      </c>
      <c r="G7" s="25">
        <v>454.26</v>
      </c>
      <c r="H7" s="25"/>
      <c r="I7" s="24" t="s">
        <v>187</v>
      </c>
      <c r="J7" s="25"/>
      <c r="K7" s="25"/>
      <c r="L7" s="26"/>
      <c r="M7" s="25"/>
      <c r="N7" s="28"/>
      <c r="O7" s="29"/>
      <c r="P7" s="29"/>
    </row>
    <row r="8" s="2" customFormat="1" customHeight="1" spans="1:16">
      <c r="A8" s="30"/>
      <c r="B8" s="22"/>
      <c r="C8" s="23"/>
      <c r="D8" s="23"/>
      <c r="E8" s="24"/>
      <c r="F8" s="21"/>
      <c r="G8" s="25"/>
      <c r="H8" s="25"/>
      <c r="I8" s="24"/>
      <c r="J8" s="25"/>
      <c r="K8" s="25"/>
      <c r="L8" s="26"/>
      <c r="M8" s="25"/>
      <c r="N8" s="28"/>
      <c r="O8" s="29"/>
      <c r="P8" s="29"/>
    </row>
    <row r="9" s="2" customFormat="1" customHeight="1" spans="1:16">
      <c r="A9" s="30"/>
      <c r="B9" s="22"/>
      <c r="C9" s="23"/>
      <c r="D9" s="23"/>
      <c r="E9" s="24"/>
      <c r="F9" s="21"/>
      <c r="G9" s="25"/>
      <c r="H9" s="25"/>
      <c r="I9" s="24"/>
      <c r="J9" s="25"/>
      <c r="K9" s="25"/>
      <c r="L9" s="26"/>
      <c r="M9" s="25"/>
      <c r="N9" s="28"/>
      <c r="O9" s="29"/>
      <c r="P9" s="29"/>
    </row>
    <row r="10" s="2" customFormat="1" customHeight="1" spans="1:16">
      <c r="A10" s="30"/>
      <c r="B10" s="22"/>
      <c r="C10" s="23"/>
      <c r="D10" s="23"/>
      <c r="E10" s="24"/>
      <c r="F10" s="21"/>
      <c r="G10" s="25"/>
      <c r="H10" s="25"/>
      <c r="I10" s="24"/>
      <c r="J10" s="25"/>
      <c r="K10" s="25"/>
      <c r="L10" s="26"/>
      <c r="M10" s="25"/>
      <c r="N10" s="28"/>
      <c r="O10" s="29"/>
      <c r="P10" s="29"/>
    </row>
    <row r="11" s="2" customFormat="1" customHeight="1" spans="1:16">
      <c r="A11" s="30"/>
      <c r="B11" s="22"/>
      <c r="C11" s="23"/>
      <c r="D11" s="23"/>
      <c r="E11" s="24"/>
      <c r="F11" s="21"/>
      <c r="G11" s="25"/>
      <c r="H11" s="25"/>
      <c r="I11" s="24"/>
      <c r="J11" s="25"/>
      <c r="K11" s="25"/>
      <c r="L11" s="26"/>
      <c r="M11" s="25"/>
      <c r="N11" s="28"/>
      <c r="O11" s="29"/>
      <c r="P11" s="29"/>
    </row>
    <row r="12" s="2" customFormat="1" customHeight="1" spans="1:16">
      <c r="A12" s="21"/>
      <c r="B12" s="22"/>
      <c r="C12" s="23"/>
      <c r="D12" s="25"/>
      <c r="E12" s="24"/>
      <c r="F12" s="21"/>
      <c r="G12" s="25"/>
      <c r="H12" s="25"/>
      <c r="I12" s="24"/>
      <c r="J12" s="25"/>
      <c r="K12" s="25"/>
      <c r="L12" s="26"/>
      <c r="M12" s="25"/>
      <c r="N12" s="28"/>
      <c r="O12" s="29"/>
      <c r="P12" s="29"/>
    </row>
    <row r="13" s="2" customFormat="1" customHeight="1" spans="1:16">
      <c r="A13" s="21"/>
      <c r="B13" s="22"/>
      <c r="C13" s="23"/>
      <c r="D13" s="25"/>
      <c r="E13" s="24"/>
      <c r="F13" s="21"/>
      <c r="G13" s="25"/>
      <c r="H13" s="25"/>
      <c r="I13" s="24"/>
      <c r="J13" s="25"/>
      <c r="K13" s="25"/>
      <c r="L13" s="26"/>
      <c r="M13" s="25"/>
      <c r="N13" s="28"/>
      <c r="O13" s="29"/>
      <c r="P13" s="29"/>
    </row>
    <row r="14" s="2" customFormat="1" customHeight="1" spans="1:16">
      <c r="A14" s="21"/>
      <c r="B14" s="22"/>
      <c r="C14" s="23"/>
      <c r="D14" s="25"/>
      <c r="E14" s="24"/>
      <c r="F14" s="21"/>
      <c r="G14" s="25"/>
      <c r="H14" s="25"/>
      <c r="I14" s="24"/>
      <c r="J14" s="25"/>
      <c r="K14" s="25"/>
      <c r="L14" s="26"/>
      <c r="M14" s="25"/>
      <c r="N14" s="28"/>
      <c r="O14" s="29"/>
      <c r="P14" s="29"/>
    </row>
    <row r="15" s="2" customFormat="1" customHeight="1" spans="1:16">
      <c r="A15" s="21"/>
      <c r="B15" s="22"/>
      <c r="C15" s="23"/>
      <c r="D15" s="25"/>
      <c r="E15" s="24"/>
      <c r="F15" s="21"/>
      <c r="G15" s="25"/>
      <c r="H15" s="25"/>
      <c r="I15" s="24"/>
      <c r="J15" s="25"/>
      <c r="K15" s="25"/>
      <c r="L15" s="26"/>
      <c r="M15" s="25"/>
      <c r="N15" s="28"/>
      <c r="O15" s="29"/>
      <c r="P15" s="29"/>
    </row>
    <row r="16" s="2" customFormat="1" customHeight="1" spans="1:16">
      <c r="A16" s="21"/>
      <c r="B16" s="22"/>
      <c r="C16" s="23"/>
      <c r="D16" s="25"/>
      <c r="E16" s="24"/>
      <c r="F16" s="21"/>
      <c r="G16" s="25"/>
      <c r="H16" s="25"/>
      <c r="I16" s="24"/>
      <c r="J16" s="25"/>
      <c r="K16" s="25"/>
      <c r="L16" s="26"/>
      <c r="M16" s="25"/>
      <c r="N16" s="28"/>
      <c r="O16" s="29"/>
      <c r="P16" s="29"/>
    </row>
    <row r="17" s="2" customFormat="1" customHeight="1" spans="1:16">
      <c r="A17" s="21"/>
      <c r="B17" s="22"/>
      <c r="C17" s="23"/>
      <c r="D17" s="25"/>
      <c r="E17" s="24"/>
      <c r="F17" s="21"/>
      <c r="G17" s="25"/>
      <c r="H17" s="25"/>
      <c r="I17" s="24"/>
      <c r="J17" s="25"/>
      <c r="K17" s="25"/>
      <c r="L17" s="26"/>
      <c r="M17" s="25"/>
      <c r="N17" s="28"/>
      <c r="O17" s="29"/>
      <c r="P17" s="29"/>
    </row>
    <row r="18" s="2" customFormat="1" customHeight="1" spans="1:16">
      <c r="A18" s="21"/>
      <c r="B18" s="22"/>
      <c r="C18" s="23"/>
      <c r="D18" s="25"/>
      <c r="E18" s="24"/>
      <c r="F18" s="21"/>
      <c r="G18" s="25"/>
      <c r="H18" s="25"/>
      <c r="I18" s="24"/>
      <c r="J18" s="25"/>
      <c r="K18" s="25"/>
      <c r="L18" s="26"/>
      <c r="M18" s="25"/>
      <c r="N18" s="28"/>
      <c r="O18" s="29"/>
      <c r="P18" s="29"/>
    </row>
    <row r="19" s="2" customFormat="1" customHeight="1" spans="1:16">
      <c r="A19" s="21"/>
      <c r="B19" s="22"/>
      <c r="C19" s="23"/>
      <c r="D19" s="25"/>
      <c r="E19" s="24"/>
      <c r="F19" s="21"/>
      <c r="G19" s="25"/>
      <c r="H19" s="25"/>
      <c r="I19" s="24"/>
      <c r="J19" s="25"/>
      <c r="K19" s="25"/>
      <c r="L19" s="26"/>
      <c r="M19" s="25"/>
      <c r="N19" s="28"/>
      <c r="O19" s="29"/>
      <c r="P19" s="29"/>
    </row>
    <row r="20" s="2" customFormat="1" customHeight="1" spans="1:16">
      <c r="A20" s="21"/>
      <c r="B20" s="22"/>
      <c r="C20" s="23"/>
      <c r="D20" s="25"/>
      <c r="E20" s="24"/>
      <c r="F20" s="21"/>
      <c r="G20" s="25"/>
      <c r="H20" s="25"/>
      <c r="I20" s="24"/>
      <c r="J20" s="25"/>
      <c r="K20" s="25"/>
      <c r="L20" s="26"/>
      <c r="M20" s="25"/>
      <c r="N20" s="28"/>
      <c r="O20" s="29"/>
      <c r="P20" s="29"/>
    </row>
    <row r="21" s="2" customFormat="1" customHeight="1" spans="1:16">
      <c r="A21" s="21"/>
      <c r="B21" s="29"/>
      <c r="C21" s="23"/>
      <c r="D21" s="25"/>
      <c r="E21" s="24"/>
      <c r="F21" s="21"/>
      <c r="G21" s="25"/>
      <c r="H21" s="25"/>
      <c r="I21" s="24"/>
      <c r="J21" s="25"/>
      <c r="K21" s="25"/>
      <c r="L21" s="26"/>
      <c r="M21" s="25"/>
      <c r="N21" s="28"/>
      <c r="O21" s="29"/>
      <c r="P21" s="29"/>
    </row>
    <row r="22" s="2" customFormat="1" customHeight="1" spans="1:16">
      <c r="A22" s="21"/>
      <c r="B22" s="22"/>
      <c r="C22" s="23"/>
      <c r="D22" s="25"/>
      <c r="E22" s="24"/>
      <c r="F22" s="21"/>
      <c r="G22" s="25"/>
      <c r="H22" s="25"/>
      <c r="I22" s="24"/>
      <c r="J22" s="25"/>
      <c r="K22" s="25"/>
      <c r="L22" s="26"/>
      <c r="M22" s="25"/>
      <c r="N22" s="28"/>
      <c r="O22" s="29"/>
      <c r="P22" s="29"/>
    </row>
    <row r="23" s="2" customFormat="1" customHeight="1" spans="1:16">
      <c r="A23" s="21"/>
      <c r="B23" s="22"/>
      <c r="C23" s="23"/>
      <c r="D23" s="25"/>
      <c r="E23" s="24"/>
      <c r="F23" s="21"/>
      <c r="G23" s="25"/>
      <c r="H23" s="25"/>
      <c r="I23" s="24"/>
      <c r="J23" s="25"/>
      <c r="K23" s="25"/>
      <c r="L23" s="26"/>
      <c r="M23" s="25"/>
      <c r="N23" s="28"/>
      <c r="O23" s="29"/>
      <c r="P23" s="29"/>
    </row>
    <row r="24" s="2" customFormat="1" customHeight="1" spans="1:16">
      <c r="A24" s="21"/>
      <c r="B24" s="22"/>
      <c r="C24" s="23"/>
      <c r="D24" s="25"/>
      <c r="E24" s="24"/>
      <c r="F24" s="21"/>
      <c r="G24" s="25"/>
      <c r="H24" s="25"/>
      <c r="I24" s="24"/>
      <c r="J24" s="25"/>
      <c r="K24" s="25"/>
      <c r="L24" s="26"/>
      <c r="M24" s="25"/>
      <c r="N24" s="28"/>
      <c r="O24" s="29"/>
      <c r="P24" s="29"/>
    </row>
    <row r="25" s="2" customFormat="1" customHeight="1" spans="1:16">
      <c r="A25" s="21"/>
      <c r="B25" s="22"/>
      <c r="C25" s="23"/>
      <c r="D25" s="25"/>
      <c r="E25" s="24"/>
      <c r="F25" s="21"/>
      <c r="G25" s="25"/>
      <c r="H25" s="25"/>
      <c r="I25" s="24"/>
      <c r="J25" s="25"/>
      <c r="K25" s="25"/>
      <c r="L25" s="26"/>
      <c r="M25" s="25"/>
      <c r="N25" s="28"/>
      <c r="O25" s="29"/>
      <c r="P25" s="29"/>
    </row>
    <row r="26" s="2" customFormat="1" customHeight="1" spans="1:16">
      <c r="A26" s="21"/>
      <c r="B26" s="22"/>
      <c r="C26" s="31"/>
      <c r="D26" s="32"/>
      <c r="E26" s="24"/>
      <c r="F26" s="21"/>
      <c r="G26" s="25"/>
      <c r="H26" s="25"/>
      <c r="I26" s="24"/>
      <c r="J26" s="25"/>
      <c r="K26" s="25"/>
      <c r="L26" s="26"/>
      <c r="M26" s="25"/>
      <c r="N26" s="28"/>
      <c r="O26" s="29"/>
      <c r="P26" s="29"/>
    </row>
    <row r="27" s="2" customFormat="1" customHeight="1" spans="1:16">
      <c r="A27" s="21"/>
      <c r="B27" s="22"/>
      <c r="C27" s="23"/>
      <c r="D27" s="32"/>
      <c r="E27" s="24"/>
      <c r="F27" s="21"/>
      <c r="G27" s="25"/>
      <c r="H27" s="25"/>
      <c r="I27" s="24"/>
      <c r="J27" s="25"/>
      <c r="K27" s="25"/>
      <c r="L27" s="26"/>
      <c r="M27" s="25"/>
      <c r="N27" s="28"/>
      <c r="O27" s="29"/>
      <c r="P27" s="29"/>
    </row>
    <row r="28" s="2" customFormat="1" customHeight="1" spans="1:16">
      <c r="A28" s="21"/>
      <c r="B28" s="22"/>
      <c r="C28" s="23"/>
      <c r="D28" s="21"/>
      <c r="E28" s="24"/>
      <c r="F28" s="21"/>
      <c r="G28" s="25"/>
      <c r="H28" s="25"/>
      <c r="I28" s="24"/>
      <c r="J28" s="25"/>
      <c r="K28" s="25"/>
      <c r="L28" s="26"/>
      <c r="M28" s="25"/>
      <c r="N28" s="28"/>
      <c r="O28" s="29"/>
      <c r="P28" s="29"/>
    </row>
    <row r="29" s="2" customFormat="1" customHeight="1" spans="1:16">
      <c r="A29" s="21"/>
      <c r="B29" s="22"/>
      <c r="C29" s="23"/>
      <c r="D29" s="25"/>
      <c r="E29" s="24"/>
      <c r="F29" s="21"/>
      <c r="G29" s="25"/>
      <c r="H29" s="25"/>
      <c r="I29" s="24"/>
      <c r="J29" s="25"/>
      <c r="K29" s="25"/>
      <c r="L29" s="26"/>
      <c r="M29" s="25"/>
      <c r="N29" s="28"/>
      <c r="O29" s="29"/>
      <c r="P29" s="29"/>
    </row>
    <row r="30" s="2" customFormat="1" customHeight="1" spans="1:16">
      <c r="A30" s="21"/>
      <c r="B30" s="22"/>
      <c r="C30" s="23"/>
      <c r="D30" s="25"/>
      <c r="E30" s="24"/>
      <c r="F30" s="21"/>
      <c r="G30" s="25"/>
      <c r="H30" s="25"/>
      <c r="I30" s="24"/>
      <c r="J30" s="25"/>
      <c r="K30" s="25"/>
      <c r="L30" s="26"/>
      <c r="M30" s="25"/>
      <c r="N30" s="28"/>
      <c r="O30" s="29"/>
      <c r="P30" s="29"/>
    </row>
    <row r="31" s="2" customFormat="1" customHeight="1" spans="1:16">
      <c r="A31" s="21"/>
      <c r="B31" s="22"/>
      <c r="C31" s="23"/>
      <c r="D31" s="25"/>
      <c r="E31" s="24"/>
      <c r="F31" s="21"/>
      <c r="G31" s="25"/>
      <c r="H31" s="25"/>
      <c r="I31" s="24"/>
      <c r="J31" s="25"/>
      <c r="K31" s="25"/>
      <c r="L31" s="26"/>
      <c r="M31" s="25"/>
      <c r="N31" s="28"/>
      <c r="O31" s="29"/>
      <c r="P31" s="29"/>
    </row>
    <row r="32" s="2" customFormat="1" customHeight="1" spans="1:16">
      <c r="A32" s="21"/>
      <c r="B32" s="22"/>
      <c r="C32" s="23"/>
      <c r="D32" s="25"/>
      <c r="E32" s="24"/>
      <c r="F32" s="21"/>
      <c r="G32" s="25"/>
      <c r="H32" s="25"/>
      <c r="I32" s="24"/>
      <c r="J32" s="25"/>
      <c r="K32" s="25"/>
      <c r="L32" s="26"/>
      <c r="M32" s="25"/>
      <c r="N32" s="28"/>
      <c r="O32" s="29"/>
      <c r="P32" s="29"/>
    </row>
    <row r="33" s="2" customFormat="1" customHeight="1" spans="1:16">
      <c r="A33" s="21"/>
      <c r="B33" s="22"/>
      <c r="C33" s="23"/>
      <c r="D33" s="25"/>
      <c r="E33" s="24"/>
      <c r="F33" s="21"/>
      <c r="G33" s="25"/>
      <c r="H33" s="25"/>
      <c r="I33" s="24"/>
      <c r="J33" s="25"/>
      <c r="K33" s="25"/>
      <c r="L33" s="26"/>
      <c r="M33" s="25"/>
      <c r="N33" s="28"/>
      <c r="O33" s="29"/>
      <c r="P33" s="29"/>
    </row>
    <row r="34" s="2" customFormat="1" customHeight="1" spans="1:16">
      <c r="A34" s="30"/>
      <c r="B34" s="22"/>
      <c r="C34" s="23"/>
      <c r="D34" s="23"/>
      <c r="E34" s="24"/>
      <c r="F34" s="21"/>
      <c r="G34" s="25"/>
      <c r="H34" s="25"/>
      <c r="I34" s="24"/>
      <c r="J34" s="25"/>
      <c r="K34" s="25"/>
      <c r="L34" s="26"/>
      <c r="M34" s="25"/>
      <c r="N34" s="28"/>
      <c r="O34" s="29"/>
      <c r="P34" s="29"/>
    </row>
    <row r="35" s="2" customFormat="1" customHeight="1" spans="1:16">
      <c r="A35" s="33"/>
      <c r="B35" s="34"/>
      <c r="C35" s="35"/>
      <c r="D35" s="35"/>
      <c r="E35" s="36"/>
      <c r="F35" s="36"/>
      <c r="G35" s="37"/>
      <c r="H35" s="37"/>
      <c r="I35" s="36"/>
      <c r="J35" s="38"/>
      <c r="K35" s="25"/>
      <c r="L35" s="26"/>
      <c r="M35" s="25"/>
      <c r="N35" s="28"/>
      <c r="O35" s="29"/>
      <c r="P35" s="29"/>
    </row>
    <row r="36" s="2" customFormat="1" customHeight="1" spans="1:16">
      <c r="A36" s="39"/>
      <c r="B36" s="40"/>
      <c r="C36" s="41"/>
      <c r="D36" s="41"/>
      <c r="E36" s="42"/>
      <c r="F36" s="43"/>
      <c r="G36" s="44"/>
      <c r="H36" s="44"/>
      <c r="I36" s="42"/>
      <c r="J36" s="25"/>
      <c r="K36" s="25"/>
      <c r="L36" s="26"/>
      <c r="M36" s="25"/>
      <c r="N36" s="28"/>
      <c r="O36" s="29"/>
      <c r="P36" s="29"/>
    </row>
    <row r="37" s="2" customFormat="1" customHeight="1" spans="1:16">
      <c r="A37" s="21"/>
      <c r="B37" s="21"/>
      <c r="C37" s="23"/>
      <c r="D37" s="23"/>
      <c r="E37" s="24"/>
      <c r="F37" s="21"/>
      <c r="G37" s="25"/>
      <c r="H37" s="25"/>
      <c r="I37" s="24"/>
      <c r="J37" s="25"/>
      <c r="K37" s="25"/>
      <c r="L37" s="26"/>
      <c r="M37" s="25"/>
      <c r="N37" s="28"/>
      <c r="O37" s="29"/>
      <c r="P37" s="29"/>
    </row>
    <row r="38" s="2" customFormat="1" customHeight="1" spans="1:16">
      <c r="A38" s="21"/>
      <c r="B38" s="21"/>
      <c r="C38" s="23"/>
      <c r="D38" s="23"/>
      <c r="E38" s="24"/>
      <c r="F38" s="21"/>
      <c r="G38" s="25"/>
      <c r="H38" s="25"/>
      <c r="I38" s="24"/>
      <c r="J38" s="25"/>
      <c r="K38" s="25"/>
      <c r="L38" s="26"/>
      <c r="M38" s="25"/>
      <c r="N38" s="28"/>
      <c r="O38" s="29"/>
      <c r="P38" s="29"/>
    </row>
    <row r="39" s="2" customFormat="1" customHeight="1" spans="1:16">
      <c r="A39" s="21"/>
      <c r="B39" s="22"/>
      <c r="C39" s="23"/>
      <c r="D39" s="23"/>
      <c r="E39" s="24"/>
      <c r="F39" s="21"/>
      <c r="G39" s="25"/>
      <c r="H39" s="25"/>
      <c r="I39" s="24"/>
      <c r="J39" s="25"/>
      <c r="K39" s="25"/>
      <c r="L39" s="26"/>
      <c r="M39" s="25"/>
      <c r="N39" s="28"/>
      <c r="O39" s="29"/>
      <c r="P39" s="29"/>
    </row>
    <row r="40" s="2" customFormat="1" customHeight="1" spans="1:16">
      <c r="A40" s="21"/>
      <c r="B40" s="22"/>
      <c r="C40" s="23"/>
      <c r="D40" s="23"/>
      <c r="E40" s="24"/>
      <c r="F40" s="21"/>
      <c r="G40" s="25"/>
      <c r="H40" s="25"/>
      <c r="I40" s="24"/>
      <c r="J40" s="25"/>
      <c r="K40" s="25"/>
      <c r="L40" s="26"/>
      <c r="M40" s="25"/>
      <c r="N40" s="28"/>
      <c r="O40" s="29"/>
      <c r="P40" s="29"/>
    </row>
    <row r="41" s="2" customFormat="1" customHeight="1" spans="1:16">
      <c r="A41" s="21"/>
      <c r="B41" s="22"/>
      <c r="C41" s="23"/>
      <c r="D41" s="23"/>
      <c r="E41" s="24"/>
      <c r="F41" s="21"/>
      <c r="G41" s="25"/>
      <c r="H41" s="25"/>
      <c r="I41" s="24"/>
      <c r="J41" s="25"/>
      <c r="K41" s="25"/>
      <c r="L41" s="26"/>
      <c r="M41" s="25"/>
      <c r="N41" s="28"/>
      <c r="O41" s="29"/>
      <c r="P41" s="29"/>
    </row>
    <row r="42" s="2" customFormat="1" customHeight="1" spans="1:16">
      <c r="A42" s="21"/>
      <c r="B42" s="21"/>
      <c r="C42" s="23"/>
      <c r="D42" s="23"/>
      <c r="E42" s="24"/>
      <c r="F42" s="21"/>
      <c r="G42" s="25"/>
      <c r="H42" s="25"/>
      <c r="I42" s="24"/>
      <c r="J42" s="25"/>
      <c r="K42" s="25"/>
      <c r="L42" s="26"/>
      <c r="M42" s="25"/>
      <c r="N42" s="28"/>
      <c r="O42" s="29"/>
      <c r="P42" s="29"/>
    </row>
    <row r="43" s="2" customFormat="1" customHeight="1" spans="1:16">
      <c r="A43" s="21"/>
      <c r="B43" s="21"/>
      <c r="C43" s="23"/>
      <c r="D43" s="23"/>
      <c r="E43" s="24"/>
      <c r="F43" s="21"/>
      <c r="G43" s="25"/>
      <c r="H43" s="25"/>
      <c r="I43" s="24"/>
      <c r="J43" s="25"/>
      <c r="K43" s="25"/>
      <c r="L43" s="26"/>
      <c r="M43" s="25"/>
      <c r="N43" s="28"/>
      <c r="O43" s="29"/>
      <c r="P43" s="29"/>
    </row>
    <row r="44" s="2" customFormat="1" customHeight="1" spans="1:16">
      <c r="A44" s="29"/>
      <c r="B44" s="29"/>
      <c r="C44" s="35"/>
      <c r="D44" s="35"/>
      <c r="E44" s="45"/>
      <c r="F44" s="45"/>
      <c r="G44" s="29"/>
      <c r="H44" s="37"/>
      <c r="I44" s="36"/>
      <c r="J44" s="29"/>
      <c r="K44" s="37"/>
      <c r="L44" s="46"/>
      <c r="M44" s="37"/>
      <c r="N44" s="47"/>
      <c r="O44" s="29"/>
      <c r="P44" s="29"/>
    </row>
    <row r="45" s="2" customFormat="1" customHeight="1" spans="1:16">
      <c r="A45" s="29"/>
      <c r="B45" s="34"/>
      <c r="C45" s="35"/>
      <c r="D45" s="29"/>
      <c r="E45" s="36"/>
      <c r="F45" s="29"/>
      <c r="G45" s="37"/>
      <c r="H45" s="37"/>
      <c r="I45" s="36"/>
      <c r="J45" s="37"/>
      <c r="K45" s="37"/>
      <c r="L45" s="46"/>
      <c r="M45" s="37"/>
      <c r="N45" s="47"/>
      <c r="O45" s="29"/>
      <c r="P45" s="29"/>
    </row>
    <row r="46" s="2" customFormat="1" customHeight="1" spans="1:16">
      <c r="A46" s="29"/>
      <c r="B46" s="34"/>
      <c r="C46" s="35"/>
      <c r="D46" s="29"/>
      <c r="E46" s="36"/>
      <c r="F46" s="29"/>
      <c r="G46" s="37"/>
      <c r="H46" s="37"/>
      <c r="I46" s="36"/>
      <c r="J46" s="37"/>
      <c r="K46" s="37"/>
      <c r="L46" s="46"/>
      <c r="M46" s="37"/>
      <c r="N46" s="47"/>
      <c r="O46" s="29"/>
      <c r="P46" s="29"/>
    </row>
    <row r="47" s="2" customFormat="1" customHeight="1" spans="1:16">
      <c r="A47" s="29"/>
      <c r="B47" s="34"/>
      <c r="C47" s="35"/>
      <c r="D47" s="29"/>
      <c r="E47" s="36"/>
      <c r="F47" s="29"/>
      <c r="G47" s="37"/>
      <c r="H47" s="37"/>
      <c r="I47" s="36"/>
      <c r="J47" s="37"/>
      <c r="K47" s="37"/>
      <c r="L47" s="46"/>
      <c r="M47" s="37"/>
      <c r="N47" s="47"/>
      <c r="O47" s="29"/>
      <c r="P47" s="29"/>
    </row>
  </sheetData>
  <autoFilter xmlns:etc="http://www.wps.cn/officeDocument/2017/etCustomData" ref="A2:B44" etc:filterBottomFollowUsedRange="0">
    <extLst/>
  </autoFilter>
  <mergeCells count="3">
    <mergeCell ref="A1:I1"/>
    <mergeCell ref="E35:F35"/>
    <mergeCell ref="E44:F44"/>
  </mergeCells>
  <pageMargins left="0.7" right="0.7" top="0.75" bottom="0.75" header="0.3" footer="0.3"/>
  <pageSetup paperSize="9" scale="75" orientation="portrait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opLeftCell="AA1" workbookViewId="0">
      <selection activeCell="AY1" sqref="AY1"/>
    </sheetView>
  </sheetViews>
  <sheetFormatPr defaultColWidth="9" defaultRowHeight="14.25"/>
  <sheetData/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方舟空运明细2511</vt:lpstr>
      <vt:lpstr>SE8空运明细2511</vt:lpstr>
      <vt:lpstr>方舟空运明细2512</vt:lpstr>
      <vt:lpstr>SE8空运明细2512</vt:lpstr>
      <vt:lpstr>方舟空运明细2601</vt:lpstr>
      <vt:lpstr>SE8空运明细2601</vt:lpstr>
      <vt:lpstr>财务简记</vt:lpstr>
      <vt:lpstr>方舟空运明细2602</vt:lpstr>
      <vt:lpstr>Sheet2</vt:lpstr>
      <vt:lpstr>Sheet3</vt:lpstr>
      <vt:lpstr>Sheet4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吴晶</dc:creator>
  <cp:lastModifiedBy>晶</cp:lastModifiedBy>
  <dcterms:created xsi:type="dcterms:W3CDTF">2015-06-05T18:17:00Z</dcterms:created>
  <dcterms:modified xsi:type="dcterms:W3CDTF">2026-02-06T04:52:46Z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09F22234DA7A45F0A57FE4A76CA8BA6A_13</vt:lpwstr>
  </property>
  <property fmtid="{D5CDD505-2E9C-101B-9397-08002B2CF9AE}" pid="3" name="KSOProductBuildVer">
    <vt:lpwstr>2052-12.1.0.24657</vt:lpwstr>
  </property>
  <property fmtid="{D5CDD505-2E9C-101B-9397-08002B2CF9AE}" pid="4" name="CalculationRule">
    <vt:i4>0</vt:i4>
  </property>
</Properties>
</file>